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256" yWindow="48" windowWidth="8136" windowHeight="4836" tabRatio="892" firstSheet="1" activeTab="1"/>
  </bookViews>
  <sheets>
    <sheet name="Sheet1" sheetId="77" state="hidden" r:id="rId1"/>
    <sheet name="2015 Accrual Quarterly" sheetId="5" r:id="rId2"/>
    <sheet name="TB Sep 2012 Final" sheetId="109" state="hidden" r:id="rId3"/>
    <sheet name="TB Oct 12" sheetId="110" state="hidden" r:id="rId4"/>
    <sheet name="TB Nov 12" sheetId="111" state="hidden" r:id="rId5"/>
    <sheet name="Sept 12" sheetId="108" state="hidden" r:id="rId6"/>
    <sheet name="Aug 12" sheetId="107" state="hidden" r:id="rId7"/>
    <sheet name="July 12" sheetId="105" state="hidden" r:id="rId8"/>
    <sheet name="June 12" sheetId="94" state="hidden" r:id="rId9"/>
    <sheet name="May 2012 Final" sheetId="95" state="hidden" r:id="rId10"/>
    <sheet name="May 12" sheetId="93" state="hidden" r:id="rId11"/>
    <sheet name="Apr 12" sheetId="92" state="hidden" r:id="rId12"/>
    <sheet name="April 2012 Final " sheetId="97" state="hidden" r:id="rId13"/>
    <sheet name="Mar 12" sheetId="90" state="hidden" r:id="rId14"/>
    <sheet name="Jan 12" sheetId="88" state="hidden" r:id="rId15"/>
    <sheet name="Feb 12" sheetId="89" state="hidden" r:id="rId16"/>
    <sheet name="Jan 12 Final" sheetId="91" state="hidden" r:id="rId17"/>
    <sheet name="April 11" sheetId="84" state="hidden" r:id="rId18"/>
    <sheet name="May 11" sheetId="86" state="hidden" r:id="rId19"/>
    <sheet name="June 11" sheetId="87" state="hidden" r:id="rId20"/>
    <sheet name="TB Dec 10" sheetId="80" state="hidden" r:id="rId21"/>
    <sheet name="Dece final 20101" sheetId="79" state="hidden" r:id="rId22"/>
    <sheet name="TB Dec 2010 " sheetId="78" state="hidden" r:id="rId23"/>
    <sheet name="TB Nov 2010" sheetId="76" state="hidden" r:id="rId24"/>
    <sheet name="TB Oct 2010" sheetId="75" state="hidden" r:id="rId25"/>
    <sheet name="TB Sept 2010" sheetId="74" state="hidden" r:id="rId26"/>
    <sheet name="TB August 2010" sheetId="72" state="hidden" r:id="rId27"/>
    <sheet name="TB July 2010" sheetId="71" state="hidden" r:id="rId28"/>
    <sheet name="TB June 2010" sheetId="69" state="hidden" r:id="rId29"/>
    <sheet name="TB May 2010" sheetId="68" state="hidden" r:id="rId30"/>
    <sheet name="May 2010 Bank to 224" sheetId="67" state="hidden" r:id="rId31"/>
    <sheet name="TB April 2010" sheetId="66" state="hidden" r:id="rId32"/>
    <sheet name="TB March 2010" sheetId="65" state="hidden" r:id="rId33"/>
    <sheet name="Feb TB 2010" sheetId="64" state="hidden" r:id="rId34"/>
    <sheet name="TB Jan 2010" sheetId="62" state="hidden" r:id="rId35"/>
    <sheet name="TB Dec 09" sheetId="61" state="hidden" r:id="rId36"/>
    <sheet name="TB Nov 09" sheetId="60" state="hidden" r:id="rId37"/>
    <sheet name="TB Oct 09" sheetId="59" state="hidden" r:id="rId38"/>
    <sheet name="TB Sept 09" sheetId="58" state="hidden" r:id="rId39"/>
    <sheet name="TB August 09" sheetId="57" state="hidden" r:id="rId40"/>
    <sheet name="TB July 09" sheetId="56" state="hidden" r:id="rId41"/>
    <sheet name="TB June 7-14-2009" sheetId="55" state="hidden" r:id="rId42"/>
    <sheet name="TB June 7-13-09" sheetId="54" state="hidden" r:id="rId43"/>
    <sheet name="TB June 09" sheetId="53" state="hidden" r:id="rId44"/>
    <sheet name="TB May 09" sheetId="51" state="hidden" r:id="rId45"/>
    <sheet name="TB April 04" sheetId="50" state="hidden" r:id="rId46"/>
    <sheet name="TB Mar 09" sheetId="49" state="hidden" r:id="rId47"/>
    <sheet name="TB Feb TB final" sheetId="48" state="hidden" r:id="rId48"/>
    <sheet name="TB Feb 09" sheetId="46" state="hidden" r:id="rId49"/>
    <sheet name="TB Jan 09" sheetId="44" state="hidden" r:id="rId50"/>
    <sheet name="TB Dec 08 Revised" sheetId="47" state="hidden" r:id="rId51"/>
    <sheet name="TB Dec 08" sheetId="43" state="hidden" r:id="rId52"/>
    <sheet name="2008 Accrual Monthly" sheetId="45" state="hidden" r:id="rId53"/>
    <sheet name="2007 Accrual Monthly" sheetId="36" state="hidden" r:id="rId54"/>
    <sheet name="2009 Accrual Monthly" sheetId="63" state="hidden" r:id="rId55"/>
    <sheet name="TB Dec 12" sheetId="112" state="hidden" r:id="rId56"/>
    <sheet name="TB Nov 12 Final" sheetId="113" state="hidden" r:id="rId57"/>
    <sheet name="March 13" sheetId="117" state="hidden" r:id="rId58"/>
    <sheet name="August 13" sheetId="123" state="hidden" r:id="rId59"/>
    <sheet name="July 13" sheetId="122" state="hidden" r:id="rId60"/>
    <sheet name="June 13" sheetId="121" state="hidden" r:id="rId61"/>
    <sheet name="May 13" sheetId="120" state="hidden" r:id="rId62"/>
    <sheet name="Apr 13" sheetId="119" state="hidden" r:id="rId63"/>
    <sheet name="Mar Final" sheetId="118" state="hidden" r:id="rId64"/>
    <sheet name="Feb 13" sheetId="115" state="hidden" r:id="rId65"/>
    <sheet name="Jan 13" sheetId="116" state="hidden" r:id="rId66"/>
    <sheet name="October 13" sheetId="125" state="hidden" r:id="rId67"/>
    <sheet name="November 13" sheetId="126" state="hidden" r:id="rId68"/>
    <sheet name="December 13" sheetId="127" state="hidden" r:id="rId69"/>
    <sheet name="September 13" sheetId="124" state="hidden" r:id="rId70"/>
    <sheet name="Jan 14" sheetId="128" state="hidden" r:id="rId71"/>
    <sheet name="Feb 14" sheetId="129" state="hidden" r:id="rId72"/>
    <sheet name="Mar 14" sheetId="130" state="hidden" r:id="rId73"/>
    <sheet name="Apr 14" sheetId="131" state="hidden" r:id="rId74"/>
    <sheet name="May 14" sheetId="132" state="hidden" r:id="rId75"/>
    <sheet name="Jun 14" sheetId="133" state="hidden" r:id="rId76"/>
    <sheet name="Jul 14" sheetId="134" state="hidden" r:id="rId77"/>
    <sheet name="Aug 14" sheetId="135" state="hidden" r:id="rId78"/>
    <sheet name="Sep 14" sheetId="136" state="hidden" r:id="rId79"/>
    <sheet name="Oct 14" sheetId="137" state="hidden" r:id="rId80"/>
    <sheet name="Nov 14" sheetId="138" state="hidden" r:id="rId81"/>
    <sheet name="Dec 14" sheetId="139" state="hidden" r:id="rId82"/>
  </sheets>
  <externalReferences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</externalReferences>
  <definedNames>
    <definedName name="AGE_BALANCES">#REF!</definedName>
    <definedName name="AGED_BALANCES" localSheetId="30">#REF!</definedName>
    <definedName name="AGED_BALANCES">#REF!</definedName>
    <definedName name="Amount" localSheetId="30">[1]Sheet1!$H$8:$H$9</definedName>
    <definedName name="Amount">[2]Sheet1!$H$8:$H$9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kmarkLS" localSheetId="30" hidden="1">#REF!</definedName>
    <definedName name="AS2TickmarkLS" hidden="1">#REF!</definedName>
    <definedName name="AS2VersionLS" hidden="1">300</definedName>
    <definedName name="August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CONSOLIDATED_bAL">#REF!</definedName>
    <definedName name="consolidated_balance_with_names_930">#REF!</definedName>
    <definedName name="detail_inactive" localSheetId="30">#REF!</definedName>
    <definedName name="detail_inactive">#REF!</definedName>
    <definedName name="Disb">#REF!</definedName>
    <definedName name="Feb">'[3]Aged AR'!$A$2:$J$8</definedName>
    <definedName name="gtgh">'[4]Aged AR'!$A$2:$J$8</definedName>
    <definedName name="june">'[5]Aged AR'!$A$2:$J$8</definedName>
    <definedName name="kou">'[4]Aged AR'!$A$2:$J$8</definedName>
    <definedName name="lkajdf">'[4]Aged AR'!$A$2:$J$8</definedName>
    <definedName name="netting">#REF!</definedName>
    <definedName name="number">#REF!</definedName>
    <definedName name="_xlnm.Print_Area" localSheetId="53">'2007 Accrual Monthly'!$A$1:$G$175</definedName>
    <definedName name="_xlnm.Print_Area" localSheetId="52">'2008 Accrual Monthly'!$A$1:$J$166</definedName>
    <definedName name="_xlnm.Print_Area" localSheetId="54">'2009 Accrual Monthly'!$A$1:$J$169</definedName>
    <definedName name="_xlnm.Print_Area" localSheetId="1">'2015 Accrual Quarterly'!$A$1:$I$100</definedName>
    <definedName name="_xlnm.Print_Area" localSheetId="30">'May 2010 Bank to 224'!$A$2:$G$64</definedName>
    <definedName name="_xlnm.Print_Titles" localSheetId="53">'2007 Accrual Monthly'!$1:$5</definedName>
    <definedName name="_xlnm.Print_Titles" localSheetId="52">'2008 Accrual Monthly'!$1:$5</definedName>
    <definedName name="_xlnm.Print_Titles" localSheetId="54">'2009 Accrual Monthly'!$1:$5</definedName>
    <definedName name="qFRNBalanceDelta">#REF!</definedName>
    <definedName name="qIssuedCommitAdjs" localSheetId="30">#REF!</definedName>
    <definedName name="qIssuedCommitAdjs">#REF!</definedName>
    <definedName name="Results" localSheetId="30">#REF!</definedName>
    <definedName name="Results">#REF!</definedName>
    <definedName name="SM_BALANCES" localSheetId="30">#REF!</definedName>
    <definedName name="SM_BALANCES">#REF!</definedName>
    <definedName name="Spec" localSheetId="30">#REF!</definedName>
    <definedName name="Spec">#REF!</definedName>
    <definedName name="spec1">#REF!</definedName>
    <definedName name="zane" localSheetId="30">'[6]Aged AR'!$A$2:$J$8</definedName>
    <definedName name="zane">'[7]Aged AR'!$A$2:$J$8</definedName>
  </definedNames>
  <calcPr calcId="145621"/>
</workbook>
</file>

<file path=xl/calcChain.xml><?xml version="1.0" encoding="utf-8"?>
<calcChain xmlns="http://schemas.openxmlformats.org/spreadsheetml/2006/main">
  <c r="D82" i="139" l="1"/>
  <c r="C82" i="139"/>
  <c r="D76" i="139"/>
  <c r="C76" i="139"/>
  <c r="D70" i="139"/>
  <c r="C70" i="139"/>
  <c r="D60" i="139"/>
  <c r="C60" i="139"/>
  <c r="D56" i="139"/>
  <c r="C56" i="139"/>
  <c r="D50" i="139"/>
  <c r="C50" i="139"/>
  <c r="D44" i="139"/>
  <c r="C44" i="139"/>
  <c r="D38" i="139"/>
  <c r="C38" i="139"/>
  <c r="D32" i="139"/>
  <c r="C32" i="139"/>
  <c r="D26" i="139"/>
  <c r="C26" i="139"/>
  <c r="D20" i="139"/>
  <c r="C20" i="139"/>
  <c r="D14" i="139"/>
  <c r="D84" i="139" s="1"/>
  <c r="C14" i="139"/>
  <c r="C84" i="139" s="1"/>
  <c r="D82" i="138" l="1"/>
  <c r="C82" i="138"/>
  <c r="D76" i="138"/>
  <c r="C76" i="138"/>
  <c r="D70" i="138"/>
  <c r="C70" i="138"/>
  <c r="D60" i="138"/>
  <c r="C60" i="138"/>
  <c r="D56" i="138"/>
  <c r="C56" i="138"/>
  <c r="D50" i="138"/>
  <c r="C50" i="138"/>
  <c r="D44" i="138"/>
  <c r="C44" i="138"/>
  <c r="D38" i="138"/>
  <c r="C38" i="138"/>
  <c r="D32" i="138"/>
  <c r="C32" i="138"/>
  <c r="D26" i="138"/>
  <c r="C26" i="138"/>
  <c r="D20" i="138"/>
  <c r="C20" i="138"/>
  <c r="D14" i="138"/>
  <c r="D84" i="138" s="1"/>
  <c r="C14" i="138"/>
  <c r="C84" i="138" s="1"/>
  <c r="D82" i="137" l="1"/>
  <c r="C82" i="137"/>
  <c r="D76" i="137"/>
  <c r="C76" i="137"/>
  <c r="D70" i="137"/>
  <c r="C70" i="137"/>
  <c r="D60" i="137"/>
  <c r="C60" i="137"/>
  <c r="D56" i="137"/>
  <c r="C56" i="137"/>
  <c r="D50" i="137"/>
  <c r="C50" i="137"/>
  <c r="D44" i="137"/>
  <c r="C44" i="137"/>
  <c r="D38" i="137"/>
  <c r="C38" i="137"/>
  <c r="D32" i="137"/>
  <c r="C32" i="137"/>
  <c r="D26" i="137"/>
  <c r="C26" i="137"/>
  <c r="D20" i="137"/>
  <c r="C20" i="137"/>
  <c r="D14" i="137"/>
  <c r="D84" i="137" s="1"/>
  <c r="C14" i="137"/>
  <c r="C84" i="137" s="1"/>
  <c r="C58" i="135" l="1"/>
  <c r="C40" i="135"/>
  <c r="D82" i="136" l="1"/>
  <c r="C82" i="136"/>
  <c r="D76" i="136"/>
  <c r="C76" i="136"/>
  <c r="D70" i="136"/>
  <c r="C70" i="136"/>
  <c r="D60" i="136"/>
  <c r="C60" i="136"/>
  <c r="D56" i="136"/>
  <c r="C56" i="136"/>
  <c r="D50" i="136"/>
  <c r="C50" i="136"/>
  <c r="D44" i="136"/>
  <c r="C44" i="136"/>
  <c r="D38" i="136"/>
  <c r="C38" i="136"/>
  <c r="D32" i="136"/>
  <c r="C32" i="136"/>
  <c r="D26" i="136"/>
  <c r="C26" i="136"/>
  <c r="D20" i="136"/>
  <c r="C20" i="136"/>
  <c r="D14" i="136"/>
  <c r="D84" i="136" s="1"/>
  <c r="C14" i="136"/>
  <c r="C84" i="136" s="1"/>
  <c r="D82" i="135" l="1"/>
  <c r="C82" i="135"/>
  <c r="D76" i="135"/>
  <c r="C76" i="135"/>
  <c r="D70" i="135"/>
  <c r="C70" i="135"/>
  <c r="D60" i="135"/>
  <c r="C60" i="135"/>
  <c r="D56" i="135"/>
  <c r="C56" i="135"/>
  <c r="D50" i="135"/>
  <c r="C50" i="135"/>
  <c r="D44" i="135"/>
  <c r="C44" i="135"/>
  <c r="D38" i="135"/>
  <c r="C38" i="135"/>
  <c r="D32" i="135"/>
  <c r="C32" i="135"/>
  <c r="D26" i="135"/>
  <c r="C26" i="135"/>
  <c r="D20" i="135"/>
  <c r="C20" i="135"/>
  <c r="D14" i="135"/>
  <c r="D84" i="135" s="1"/>
  <c r="C14" i="135"/>
  <c r="C84" i="135" l="1"/>
  <c r="D82" i="134"/>
  <c r="C82" i="134"/>
  <c r="D76" i="134"/>
  <c r="C76" i="134"/>
  <c r="D70" i="134"/>
  <c r="C70" i="134"/>
  <c r="D60" i="134"/>
  <c r="C60" i="134"/>
  <c r="D56" i="134"/>
  <c r="C56" i="134"/>
  <c r="D50" i="134"/>
  <c r="C50" i="134"/>
  <c r="D44" i="134"/>
  <c r="C44" i="134"/>
  <c r="D38" i="134"/>
  <c r="C38" i="134"/>
  <c r="D32" i="134"/>
  <c r="C32" i="134"/>
  <c r="D26" i="134"/>
  <c r="C26" i="134"/>
  <c r="D20" i="134"/>
  <c r="C20" i="134"/>
  <c r="D14" i="134"/>
  <c r="D84" i="134" s="1"/>
  <c r="C14" i="134"/>
  <c r="C84" i="134" s="1"/>
  <c r="D82" i="133" l="1"/>
  <c r="C82" i="133"/>
  <c r="D76" i="133"/>
  <c r="C76" i="133"/>
  <c r="D70" i="133"/>
  <c r="C70" i="133"/>
  <c r="D60" i="133"/>
  <c r="C60" i="133"/>
  <c r="D56" i="133"/>
  <c r="C56" i="133"/>
  <c r="D50" i="133"/>
  <c r="C50" i="133"/>
  <c r="D44" i="133"/>
  <c r="C44" i="133"/>
  <c r="D38" i="133"/>
  <c r="C38" i="133"/>
  <c r="D32" i="133"/>
  <c r="C32" i="133"/>
  <c r="D26" i="133"/>
  <c r="C26" i="133"/>
  <c r="D20" i="133"/>
  <c r="C20" i="133"/>
  <c r="D14" i="133"/>
  <c r="D84" i="133" s="1"/>
  <c r="C14" i="133"/>
  <c r="C84" i="133" s="1"/>
  <c r="D82" i="132" l="1"/>
  <c r="C82" i="132"/>
  <c r="D76" i="132"/>
  <c r="C76" i="132"/>
  <c r="D70" i="132"/>
  <c r="C70" i="132"/>
  <c r="D60" i="132"/>
  <c r="C60" i="132"/>
  <c r="D56" i="132"/>
  <c r="C56" i="132"/>
  <c r="D50" i="132"/>
  <c r="C50" i="132"/>
  <c r="D44" i="132"/>
  <c r="C44" i="132"/>
  <c r="D38" i="132"/>
  <c r="C38" i="132"/>
  <c r="D32" i="132"/>
  <c r="C32" i="132"/>
  <c r="D26" i="132"/>
  <c r="C26" i="132"/>
  <c r="D20" i="132"/>
  <c r="C20" i="132"/>
  <c r="D14" i="132"/>
  <c r="D84" i="132" s="1"/>
  <c r="C14" i="132"/>
  <c r="C84" i="132" s="1"/>
  <c r="D82" i="131" l="1"/>
  <c r="C82" i="131"/>
  <c r="D76" i="131"/>
  <c r="C76" i="131"/>
  <c r="D70" i="131"/>
  <c r="C70" i="131"/>
  <c r="D60" i="131"/>
  <c r="C60" i="131"/>
  <c r="D56" i="131"/>
  <c r="C56" i="131"/>
  <c r="D50" i="131"/>
  <c r="C50" i="131"/>
  <c r="D44" i="131"/>
  <c r="C44" i="131"/>
  <c r="D38" i="131"/>
  <c r="C38" i="131"/>
  <c r="D32" i="131"/>
  <c r="C32" i="131"/>
  <c r="D26" i="131"/>
  <c r="C26" i="131"/>
  <c r="D20" i="131"/>
  <c r="C20" i="131"/>
  <c r="D14" i="131"/>
  <c r="D84" i="131" s="1"/>
  <c r="C14" i="131"/>
  <c r="C84" i="131" s="1"/>
  <c r="D82" i="130" l="1"/>
  <c r="C82" i="130"/>
  <c r="D76" i="130"/>
  <c r="C76" i="130"/>
  <c r="D70" i="130"/>
  <c r="C70" i="130"/>
  <c r="D60" i="130"/>
  <c r="C60" i="130"/>
  <c r="D56" i="130"/>
  <c r="C56" i="130"/>
  <c r="D50" i="130"/>
  <c r="C50" i="130"/>
  <c r="D44" i="130"/>
  <c r="C44" i="130"/>
  <c r="D38" i="130"/>
  <c r="C38" i="130"/>
  <c r="D32" i="130"/>
  <c r="C32" i="130"/>
  <c r="D26" i="130"/>
  <c r="C26" i="130"/>
  <c r="D20" i="130"/>
  <c r="C20" i="130"/>
  <c r="D14" i="130"/>
  <c r="D84" i="130" s="1"/>
  <c r="C14" i="130"/>
  <c r="C84" i="130" s="1"/>
  <c r="D84" i="128" l="1"/>
  <c r="D82" i="129" l="1"/>
  <c r="C82" i="129"/>
  <c r="D76" i="129"/>
  <c r="C76" i="129"/>
  <c r="D70" i="129"/>
  <c r="C70" i="129"/>
  <c r="D60" i="129"/>
  <c r="C60" i="129"/>
  <c r="D56" i="129"/>
  <c r="C56" i="129"/>
  <c r="D50" i="129"/>
  <c r="C50" i="129"/>
  <c r="D44" i="129"/>
  <c r="C44" i="129"/>
  <c r="D38" i="129"/>
  <c r="C38" i="129"/>
  <c r="D32" i="129"/>
  <c r="C32" i="129"/>
  <c r="D26" i="129"/>
  <c r="C26" i="129"/>
  <c r="D20" i="129"/>
  <c r="C20" i="129"/>
  <c r="D14" i="129"/>
  <c r="D84" i="129" s="1"/>
  <c r="C14" i="129"/>
  <c r="C84" i="129" s="1"/>
  <c r="D82" i="128" l="1"/>
  <c r="C82" i="128"/>
  <c r="D76" i="128"/>
  <c r="C76" i="128"/>
  <c r="D70" i="128"/>
  <c r="C70" i="128"/>
  <c r="D60" i="128"/>
  <c r="C60" i="128"/>
  <c r="D56" i="128"/>
  <c r="C56" i="128"/>
  <c r="D50" i="128"/>
  <c r="C50" i="128"/>
  <c r="D44" i="128"/>
  <c r="C44" i="128"/>
  <c r="D38" i="128"/>
  <c r="C38" i="128"/>
  <c r="D32" i="128"/>
  <c r="C32" i="128"/>
  <c r="D26" i="128"/>
  <c r="C26" i="128"/>
  <c r="D20" i="128"/>
  <c r="C20" i="128"/>
  <c r="D14" i="128"/>
  <c r="C14" i="128"/>
  <c r="C84" i="128" s="1"/>
  <c r="D82" i="127"/>
  <c r="C82" i="127"/>
  <c r="D76" i="127"/>
  <c r="C76" i="127"/>
  <c r="D70" i="127"/>
  <c r="C70" i="127"/>
  <c r="D60" i="127"/>
  <c r="C60" i="127"/>
  <c r="D56" i="127"/>
  <c r="C56" i="127"/>
  <c r="D50" i="127"/>
  <c r="C50" i="127"/>
  <c r="D44" i="127"/>
  <c r="C44" i="127"/>
  <c r="D38" i="127"/>
  <c r="C38" i="127"/>
  <c r="D32" i="127"/>
  <c r="C32" i="127"/>
  <c r="C84" i="127" s="1"/>
  <c r="D26" i="127"/>
  <c r="C26" i="127"/>
  <c r="D20" i="127"/>
  <c r="C20" i="127"/>
  <c r="D14" i="127"/>
  <c r="C14" i="127"/>
  <c r="D82" i="126"/>
  <c r="C82" i="126"/>
  <c r="D76" i="126"/>
  <c r="C76" i="126"/>
  <c r="D70" i="126"/>
  <c r="C70" i="126"/>
  <c r="D60" i="126"/>
  <c r="C60" i="126"/>
  <c r="D56" i="126"/>
  <c r="C56" i="126"/>
  <c r="D50" i="126"/>
  <c r="C50" i="126"/>
  <c r="D44" i="126"/>
  <c r="C44" i="126"/>
  <c r="D38" i="126"/>
  <c r="C38" i="126"/>
  <c r="D32" i="126"/>
  <c r="C32" i="126"/>
  <c r="D26" i="126"/>
  <c r="C26" i="126"/>
  <c r="D20" i="126"/>
  <c r="C20" i="126"/>
  <c r="D14" i="126"/>
  <c r="D84" i="126" s="1"/>
  <c r="C14" i="126"/>
  <c r="C84" i="126" s="1"/>
  <c r="D82" i="125"/>
  <c r="C82" i="125"/>
  <c r="D76" i="125"/>
  <c r="C76" i="125"/>
  <c r="D70" i="125"/>
  <c r="C70" i="125"/>
  <c r="D60" i="125"/>
  <c r="C60" i="125"/>
  <c r="D56" i="125"/>
  <c r="C56" i="125"/>
  <c r="D50" i="125"/>
  <c r="C50" i="125"/>
  <c r="D44" i="125"/>
  <c r="C44" i="125"/>
  <c r="D38" i="125"/>
  <c r="C38" i="125"/>
  <c r="D32" i="125"/>
  <c r="C32" i="125"/>
  <c r="D26" i="125"/>
  <c r="C26" i="125"/>
  <c r="D20" i="125"/>
  <c r="C20" i="125"/>
  <c r="D14" i="125"/>
  <c r="D84" i="125" s="1"/>
  <c r="C14" i="125"/>
  <c r="C84" i="125" s="1"/>
  <c r="D82" i="124"/>
  <c r="C82" i="124"/>
  <c r="D76" i="124"/>
  <c r="C76" i="124"/>
  <c r="D70" i="124"/>
  <c r="C70" i="124"/>
  <c r="D60" i="124"/>
  <c r="C60" i="124"/>
  <c r="D56" i="124"/>
  <c r="C56" i="124"/>
  <c r="D50" i="124"/>
  <c r="C50" i="124"/>
  <c r="D44" i="124"/>
  <c r="C44" i="124"/>
  <c r="D38" i="124"/>
  <c r="C38" i="124"/>
  <c r="D32" i="124"/>
  <c r="C32" i="124"/>
  <c r="D26" i="124"/>
  <c r="C26" i="124"/>
  <c r="D20" i="124"/>
  <c r="C20" i="124"/>
  <c r="D14" i="124"/>
  <c r="C14" i="124"/>
  <c r="D82" i="122"/>
  <c r="C82" i="122"/>
  <c r="D76" i="122"/>
  <c r="C76" i="122"/>
  <c r="D70" i="122"/>
  <c r="C70" i="122"/>
  <c r="D60" i="122"/>
  <c r="C60" i="122"/>
  <c r="D56" i="122"/>
  <c r="C56" i="122"/>
  <c r="D50" i="122"/>
  <c r="C50" i="122"/>
  <c r="D44" i="122"/>
  <c r="C44" i="122"/>
  <c r="D38" i="122"/>
  <c r="C38" i="122"/>
  <c r="D32" i="122"/>
  <c r="C32" i="122"/>
  <c r="D26" i="122"/>
  <c r="C26" i="122"/>
  <c r="D20" i="122"/>
  <c r="C20" i="122"/>
  <c r="D14" i="122"/>
  <c r="C14" i="122"/>
  <c r="D82" i="123"/>
  <c r="C82" i="123"/>
  <c r="D76" i="123"/>
  <c r="C76" i="123"/>
  <c r="D70" i="123"/>
  <c r="C70" i="123"/>
  <c r="D60" i="123"/>
  <c r="C60" i="123"/>
  <c r="D56" i="123"/>
  <c r="C56" i="123"/>
  <c r="D50" i="123"/>
  <c r="C50" i="123"/>
  <c r="D44" i="123"/>
  <c r="C44" i="123"/>
  <c r="D38" i="123"/>
  <c r="C38" i="123"/>
  <c r="D32" i="123"/>
  <c r="C32" i="123"/>
  <c r="D26" i="123"/>
  <c r="C26" i="123"/>
  <c r="D20" i="123"/>
  <c r="C20" i="123"/>
  <c r="D14" i="123"/>
  <c r="D84" i="123"/>
  <c r="C14" i="123"/>
  <c r="C81" i="121"/>
  <c r="C80" i="121"/>
  <c r="C79" i="121"/>
  <c r="C78" i="121"/>
  <c r="D82" i="120"/>
  <c r="C82" i="120"/>
  <c r="D76" i="120"/>
  <c r="C76" i="120"/>
  <c r="D70" i="120"/>
  <c r="C70" i="120"/>
  <c r="D60" i="120"/>
  <c r="C60" i="120"/>
  <c r="D56" i="120"/>
  <c r="C56" i="120"/>
  <c r="D50" i="120"/>
  <c r="C50" i="120"/>
  <c r="D44" i="120"/>
  <c r="C44" i="120"/>
  <c r="D38" i="120"/>
  <c r="C38" i="120"/>
  <c r="D32" i="120"/>
  <c r="C32" i="120"/>
  <c r="D26" i="120"/>
  <c r="C26" i="120"/>
  <c r="D20" i="120"/>
  <c r="C20" i="120"/>
  <c r="D14" i="120"/>
  <c r="C14" i="120"/>
  <c r="D82" i="121"/>
  <c r="D76" i="121"/>
  <c r="C76" i="121"/>
  <c r="D70" i="121"/>
  <c r="C70" i="121"/>
  <c r="D60" i="121"/>
  <c r="C60" i="121"/>
  <c r="D56" i="121"/>
  <c r="C56" i="121"/>
  <c r="D50" i="121"/>
  <c r="C50" i="121"/>
  <c r="D44" i="121"/>
  <c r="C44" i="121"/>
  <c r="D38" i="121"/>
  <c r="C38" i="121"/>
  <c r="D32" i="121"/>
  <c r="C32" i="121"/>
  <c r="D26" i="121"/>
  <c r="C26" i="121"/>
  <c r="D20" i="121"/>
  <c r="C20" i="121"/>
  <c r="D14" i="121"/>
  <c r="D84" i="121" s="1"/>
  <c r="C14" i="121"/>
  <c r="D82" i="119"/>
  <c r="C82" i="119"/>
  <c r="D76" i="119"/>
  <c r="C76" i="119"/>
  <c r="D70" i="119"/>
  <c r="C70" i="119"/>
  <c r="D60" i="119"/>
  <c r="C60" i="119"/>
  <c r="D56" i="119"/>
  <c r="C56" i="119"/>
  <c r="D50" i="119"/>
  <c r="C50" i="119"/>
  <c r="D44" i="119"/>
  <c r="C44" i="119"/>
  <c r="D38" i="119"/>
  <c r="C38" i="119"/>
  <c r="D32" i="119"/>
  <c r="C32" i="119"/>
  <c r="D26" i="119"/>
  <c r="C26" i="119"/>
  <c r="D20" i="119"/>
  <c r="D84" i="119" s="1"/>
  <c r="C20" i="119"/>
  <c r="D14" i="119"/>
  <c r="C14" i="119"/>
  <c r="D82" i="118"/>
  <c r="C82" i="118"/>
  <c r="D76" i="118"/>
  <c r="C76" i="118"/>
  <c r="D70" i="118"/>
  <c r="C70" i="118"/>
  <c r="D60" i="118"/>
  <c r="C60" i="118"/>
  <c r="D56" i="118"/>
  <c r="C56" i="118"/>
  <c r="D50" i="118"/>
  <c r="C50" i="118"/>
  <c r="D44" i="118"/>
  <c r="C44" i="118"/>
  <c r="D38" i="118"/>
  <c r="C38" i="118"/>
  <c r="D32" i="118"/>
  <c r="C32" i="118"/>
  <c r="D26" i="118"/>
  <c r="C26" i="118"/>
  <c r="D20" i="118"/>
  <c r="C20" i="118"/>
  <c r="D14" i="118"/>
  <c r="C14" i="118"/>
  <c r="D82" i="116"/>
  <c r="C82" i="116"/>
  <c r="D76" i="116"/>
  <c r="C76" i="116"/>
  <c r="D70" i="116"/>
  <c r="C70" i="116"/>
  <c r="D60" i="116"/>
  <c r="C60" i="116"/>
  <c r="D56" i="116"/>
  <c r="C56" i="116"/>
  <c r="D50" i="116"/>
  <c r="C50" i="116"/>
  <c r="D44" i="116"/>
  <c r="C44" i="116"/>
  <c r="D38" i="116"/>
  <c r="C38" i="116"/>
  <c r="D32" i="116"/>
  <c r="C32" i="116"/>
  <c r="D26" i="116"/>
  <c r="C26" i="116"/>
  <c r="D20" i="116"/>
  <c r="C20" i="116"/>
  <c r="D14" i="116"/>
  <c r="C14" i="116"/>
  <c r="D82" i="115"/>
  <c r="C82" i="115"/>
  <c r="D76" i="115"/>
  <c r="C76" i="115"/>
  <c r="D70" i="115"/>
  <c r="C70" i="115"/>
  <c r="D60" i="115"/>
  <c r="C60" i="115"/>
  <c r="D56" i="115"/>
  <c r="C56" i="115"/>
  <c r="D50" i="115"/>
  <c r="C50" i="115"/>
  <c r="D44" i="115"/>
  <c r="C44" i="115"/>
  <c r="D38" i="115"/>
  <c r="C38" i="115"/>
  <c r="D32" i="115"/>
  <c r="C32" i="115"/>
  <c r="D26" i="115"/>
  <c r="C26" i="115"/>
  <c r="D20" i="115"/>
  <c r="C20" i="115"/>
  <c r="D14" i="115"/>
  <c r="C14" i="115"/>
  <c r="H43" i="111"/>
  <c r="H42" i="111"/>
  <c r="H41" i="111"/>
  <c r="H40" i="111"/>
  <c r="G43" i="111"/>
  <c r="G42" i="111"/>
  <c r="G41" i="111"/>
  <c r="G40" i="111"/>
  <c r="H43" i="112"/>
  <c r="H42" i="112"/>
  <c r="H41" i="112"/>
  <c r="H40" i="112"/>
  <c r="G43" i="112"/>
  <c r="G42" i="112"/>
  <c r="G41" i="112"/>
  <c r="G40" i="112"/>
  <c r="E82" i="111"/>
  <c r="D82" i="111"/>
  <c r="C82" i="111"/>
  <c r="E76" i="111"/>
  <c r="D76" i="111"/>
  <c r="C76" i="111"/>
  <c r="E70" i="111"/>
  <c r="D70" i="111"/>
  <c r="C70" i="111"/>
  <c r="E60" i="111"/>
  <c r="D60" i="111"/>
  <c r="C60" i="111"/>
  <c r="E56" i="111"/>
  <c r="D56" i="111"/>
  <c r="D84" i="111" s="1"/>
  <c r="C56" i="111"/>
  <c r="E50" i="111"/>
  <c r="D50" i="111"/>
  <c r="C50" i="111"/>
  <c r="E44" i="111"/>
  <c r="D44" i="111"/>
  <c r="C44" i="111"/>
  <c r="E38" i="111"/>
  <c r="E84" i="111" s="1"/>
  <c r="D38" i="111"/>
  <c r="C38" i="111"/>
  <c r="E32" i="111"/>
  <c r="D32" i="111"/>
  <c r="C32" i="111"/>
  <c r="E26" i="111"/>
  <c r="D26" i="111"/>
  <c r="C26" i="111"/>
  <c r="E20" i="111"/>
  <c r="D20" i="111"/>
  <c r="C20" i="111"/>
  <c r="E14" i="111"/>
  <c r="D14" i="111"/>
  <c r="C14" i="111"/>
  <c r="E82" i="110"/>
  <c r="D82" i="110"/>
  <c r="C82" i="110"/>
  <c r="E76" i="110"/>
  <c r="D76" i="110"/>
  <c r="C76" i="110"/>
  <c r="E70" i="110"/>
  <c r="D70" i="110"/>
  <c r="C70" i="110"/>
  <c r="E60" i="110"/>
  <c r="D60" i="110"/>
  <c r="C60" i="110"/>
  <c r="E56" i="110"/>
  <c r="D56" i="110"/>
  <c r="C56" i="110"/>
  <c r="E50" i="110"/>
  <c r="D50" i="110"/>
  <c r="C50" i="110"/>
  <c r="E44" i="110"/>
  <c r="D44" i="110"/>
  <c r="C44" i="110"/>
  <c r="E38" i="110"/>
  <c r="D38" i="110"/>
  <c r="C38" i="110"/>
  <c r="E32" i="110"/>
  <c r="D32" i="110"/>
  <c r="C32" i="110"/>
  <c r="E26" i="110"/>
  <c r="D26" i="110"/>
  <c r="C26" i="110"/>
  <c r="E20" i="110"/>
  <c r="D20" i="110"/>
  <c r="C20" i="110"/>
  <c r="E14" i="110"/>
  <c r="D14" i="110"/>
  <c r="C14" i="110"/>
  <c r="E82" i="109"/>
  <c r="D82" i="109"/>
  <c r="C82" i="109"/>
  <c r="E76" i="109"/>
  <c r="D76" i="109"/>
  <c r="C76" i="109"/>
  <c r="E70" i="109"/>
  <c r="D70" i="109"/>
  <c r="C70" i="109"/>
  <c r="E60" i="109"/>
  <c r="D60" i="109"/>
  <c r="C60" i="109"/>
  <c r="E56" i="109"/>
  <c r="D56" i="109"/>
  <c r="C56" i="109"/>
  <c r="E50" i="109"/>
  <c r="D50" i="109"/>
  <c r="C50" i="109"/>
  <c r="E44" i="109"/>
  <c r="D44" i="109"/>
  <c r="C44" i="109"/>
  <c r="E38" i="109"/>
  <c r="D38" i="109"/>
  <c r="C38" i="109"/>
  <c r="E32" i="109"/>
  <c r="D32" i="109"/>
  <c r="C32" i="109"/>
  <c r="E26" i="109"/>
  <c r="D26" i="109"/>
  <c r="C26" i="109"/>
  <c r="E20" i="109"/>
  <c r="D20" i="109"/>
  <c r="C20" i="109"/>
  <c r="E14" i="109"/>
  <c r="E84" i="109" s="1"/>
  <c r="D14" i="109"/>
  <c r="C14" i="109"/>
  <c r="E82" i="108"/>
  <c r="D82" i="108"/>
  <c r="C82" i="108"/>
  <c r="E76" i="108"/>
  <c r="D76" i="108"/>
  <c r="C76" i="108"/>
  <c r="E70" i="108"/>
  <c r="D70" i="108"/>
  <c r="C70" i="108"/>
  <c r="E60" i="108"/>
  <c r="D60" i="108"/>
  <c r="C60" i="108"/>
  <c r="E56" i="108"/>
  <c r="D56" i="108"/>
  <c r="C56" i="108"/>
  <c r="E50" i="108"/>
  <c r="D50" i="108"/>
  <c r="C50" i="108"/>
  <c r="E44" i="108"/>
  <c r="D44" i="108"/>
  <c r="C44" i="108"/>
  <c r="E38" i="108"/>
  <c r="E84" i="108" s="1"/>
  <c r="D38" i="108"/>
  <c r="C38" i="108"/>
  <c r="E32" i="108"/>
  <c r="D32" i="108"/>
  <c r="C32" i="108"/>
  <c r="E26" i="108"/>
  <c r="D26" i="108"/>
  <c r="C26" i="108"/>
  <c r="E20" i="108"/>
  <c r="D20" i="108"/>
  <c r="C20" i="108"/>
  <c r="E14" i="108"/>
  <c r="D14" i="108"/>
  <c r="C14" i="108"/>
  <c r="C14" i="107"/>
  <c r="D14" i="107"/>
  <c r="E14" i="107"/>
  <c r="C20" i="107"/>
  <c r="D20" i="107"/>
  <c r="E20" i="107"/>
  <c r="C26" i="107"/>
  <c r="D26" i="107"/>
  <c r="E26" i="107"/>
  <c r="C32" i="107"/>
  <c r="D32" i="107"/>
  <c r="E32" i="107"/>
  <c r="C38" i="107"/>
  <c r="D38" i="107"/>
  <c r="D84" i="107" s="1"/>
  <c r="E38" i="107"/>
  <c r="C44" i="107"/>
  <c r="D44" i="107"/>
  <c r="E44" i="107"/>
  <c r="C50" i="107"/>
  <c r="D50" i="107"/>
  <c r="E50" i="107"/>
  <c r="C56" i="107"/>
  <c r="D56" i="107"/>
  <c r="E56" i="107"/>
  <c r="C60" i="107"/>
  <c r="D60" i="107"/>
  <c r="E60" i="107"/>
  <c r="C70" i="107"/>
  <c r="D70" i="107"/>
  <c r="E70" i="107"/>
  <c r="C76" i="107"/>
  <c r="D76" i="107"/>
  <c r="E76" i="107"/>
  <c r="C82" i="107"/>
  <c r="D82" i="107"/>
  <c r="E82" i="107"/>
  <c r="E82" i="105"/>
  <c r="D82" i="105"/>
  <c r="C82" i="105"/>
  <c r="E76" i="105"/>
  <c r="D76" i="105"/>
  <c r="C76" i="105"/>
  <c r="E70" i="105"/>
  <c r="D70" i="105"/>
  <c r="C70" i="105"/>
  <c r="E60" i="105"/>
  <c r="E84" i="105" s="1"/>
  <c r="D60" i="105"/>
  <c r="C60" i="105"/>
  <c r="E56" i="105"/>
  <c r="D56" i="105"/>
  <c r="C56" i="105"/>
  <c r="E50" i="105"/>
  <c r="D50" i="105"/>
  <c r="C50" i="105"/>
  <c r="E44" i="105"/>
  <c r="D44" i="105"/>
  <c r="C44" i="105"/>
  <c r="E38" i="105"/>
  <c r="D38" i="105"/>
  <c r="C38" i="105"/>
  <c r="E32" i="105"/>
  <c r="D32" i="105"/>
  <c r="D84" i="105" s="1"/>
  <c r="C32" i="105"/>
  <c r="E26" i="105"/>
  <c r="D26" i="105"/>
  <c r="C26" i="105"/>
  <c r="E20" i="105"/>
  <c r="D20" i="105"/>
  <c r="C20" i="105"/>
  <c r="C84" i="105"/>
  <c r="E14" i="105"/>
  <c r="D14" i="105"/>
  <c r="C14" i="105"/>
  <c r="E82" i="97"/>
  <c r="D82" i="97"/>
  <c r="C82" i="97"/>
  <c r="E76" i="97"/>
  <c r="D76" i="97"/>
  <c r="C76" i="97"/>
  <c r="E70" i="97"/>
  <c r="D70" i="97"/>
  <c r="C70" i="97"/>
  <c r="E60" i="97"/>
  <c r="D60" i="97"/>
  <c r="C60" i="97"/>
  <c r="E56" i="97"/>
  <c r="D56" i="97"/>
  <c r="C56" i="97"/>
  <c r="E50" i="97"/>
  <c r="D50" i="97"/>
  <c r="D84" i="97" s="1"/>
  <c r="C50" i="97"/>
  <c r="E44" i="97"/>
  <c r="D44" i="97"/>
  <c r="C44" i="97"/>
  <c r="E38" i="97"/>
  <c r="D38" i="97"/>
  <c r="C38" i="97"/>
  <c r="E32" i="97"/>
  <c r="E84" i="97" s="1"/>
  <c r="D32" i="97"/>
  <c r="C32" i="97"/>
  <c r="E26" i="97"/>
  <c r="D26" i="97"/>
  <c r="C26" i="97"/>
  <c r="E20" i="97"/>
  <c r="D20" i="97"/>
  <c r="C20" i="97"/>
  <c r="C84" i="97" s="1"/>
  <c r="E14" i="97"/>
  <c r="D14" i="97"/>
  <c r="C14" i="97"/>
  <c r="E82" i="95"/>
  <c r="D82" i="95"/>
  <c r="C82" i="95"/>
  <c r="E76" i="95"/>
  <c r="D76" i="95"/>
  <c r="C76" i="95"/>
  <c r="E70" i="95"/>
  <c r="D70" i="95"/>
  <c r="C70" i="95"/>
  <c r="E60" i="95"/>
  <c r="D60" i="95"/>
  <c r="C60" i="95"/>
  <c r="C84" i="95" s="1"/>
  <c r="E56" i="95"/>
  <c r="D56" i="95"/>
  <c r="C56" i="95"/>
  <c r="E50" i="95"/>
  <c r="D50" i="95"/>
  <c r="C50" i="95"/>
  <c r="E44" i="95"/>
  <c r="D44" i="95"/>
  <c r="D84" i="95" s="1"/>
  <c r="C44" i="95"/>
  <c r="E38" i="95"/>
  <c r="D38" i="95"/>
  <c r="C38" i="95"/>
  <c r="E32" i="95"/>
  <c r="D32" i="95"/>
  <c r="C32" i="95"/>
  <c r="E26" i="95"/>
  <c r="D26" i="95"/>
  <c r="C26" i="95"/>
  <c r="E20" i="95"/>
  <c r="D20" i="95"/>
  <c r="C20" i="95"/>
  <c r="E14" i="95"/>
  <c r="D14" i="95"/>
  <c r="C14" i="95"/>
  <c r="E82" i="94"/>
  <c r="D82" i="94"/>
  <c r="C82" i="94"/>
  <c r="E76" i="94"/>
  <c r="D76" i="94"/>
  <c r="C76" i="94"/>
  <c r="E70" i="94"/>
  <c r="D70" i="94"/>
  <c r="C70" i="94"/>
  <c r="E60" i="94"/>
  <c r="D60" i="94"/>
  <c r="C60" i="94"/>
  <c r="E56" i="94"/>
  <c r="D56" i="94"/>
  <c r="C56" i="94"/>
  <c r="E50" i="94"/>
  <c r="D50" i="94"/>
  <c r="C50" i="94"/>
  <c r="E44" i="94"/>
  <c r="D44" i="94"/>
  <c r="C44" i="94"/>
  <c r="E38" i="94"/>
  <c r="D38" i="94"/>
  <c r="C38" i="94"/>
  <c r="E32" i="94"/>
  <c r="D32" i="94"/>
  <c r="C32" i="94"/>
  <c r="E26" i="94"/>
  <c r="D26" i="94"/>
  <c r="C26" i="94"/>
  <c r="E20" i="94"/>
  <c r="D20" i="94"/>
  <c r="C20" i="94"/>
  <c r="E14" i="94"/>
  <c r="D14" i="94"/>
  <c r="C14" i="94"/>
  <c r="E82" i="93"/>
  <c r="D82" i="93"/>
  <c r="C82" i="93"/>
  <c r="E76" i="93"/>
  <c r="D76" i="93"/>
  <c r="C76" i="93"/>
  <c r="E70" i="93"/>
  <c r="D70" i="93"/>
  <c r="C70" i="93"/>
  <c r="E60" i="93"/>
  <c r="D60" i="93"/>
  <c r="C60" i="93"/>
  <c r="E56" i="93"/>
  <c r="D56" i="93"/>
  <c r="C56" i="93"/>
  <c r="E50" i="93"/>
  <c r="D50" i="93"/>
  <c r="C50" i="93"/>
  <c r="E44" i="93"/>
  <c r="D44" i="93"/>
  <c r="C44" i="93"/>
  <c r="E38" i="93"/>
  <c r="D38" i="93"/>
  <c r="C38" i="93"/>
  <c r="E32" i="93"/>
  <c r="D32" i="93"/>
  <c r="C32" i="93"/>
  <c r="E26" i="93"/>
  <c r="D26" i="93"/>
  <c r="C26" i="93"/>
  <c r="E20" i="93"/>
  <c r="D20" i="93"/>
  <c r="C20" i="93"/>
  <c r="E14" i="93"/>
  <c r="D14" i="93"/>
  <c r="C14" i="93"/>
  <c r="E82" i="92"/>
  <c r="D82" i="92"/>
  <c r="C82" i="92"/>
  <c r="E76" i="92"/>
  <c r="D76" i="92"/>
  <c r="C76" i="92"/>
  <c r="E70" i="92"/>
  <c r="D70" i="92"/>
  <c r="C70" i="92"/>
  <c r="E60" i="92"/>
  <c r="D60" i="92"/>
  <c r="C60" i="92"/>
  <c r="E56" i="92"/>
  <c r="D56" i="92"/>
  <c r="C56" i="92"/>
  <c r="E50" i="92"/>
  <c r="D50" i="92"/>
  <c r="C50" i="92"/>
  <c r="E44" i="92"/>
  <c r="D44" i="92"/>
  <c r="C44" i="92"/>
  <c r="E38" i="92"/>
  <c r="D38" i="92"/>
  <c r="C38" i="92"/>
  <c r="C84" i="92"/>
  <c r="E32" i="92"/>
  <c r="D32" i="92"/>
  <c r="C32" i="92"/>
  <c r="E26" i="92"/>
  <c r="D26" i="92"/>
  <c r="C26" i="92"/>
  <c r="E20" i="92"/>
  <c r="D20" i="92"/>
  <c r="D84" i="92" s="1"/>
  <c r="C20" i="92"/>
  <c r="E14" i="92"/>
  <c r="E84" i="92" s="1"/>
  <c r="D14" i="92"/>
  <c r="C14" i="92"/>
  <c r="G82" i="90"/>
  <c r="E82" i="91"/>
  <c r="D82" i="91"/>
  <c r="C82" i="91"/>
  <c r="E76" i="91"/>
  <c r="D76" i="91"/>
  <c r="C76" i="91"/>
  <c r="E70" i="91"/>
  <c r="D70" i="91"/>
  <c r="C70" i="91"/>
  <c r="E60" i="91"/>
  <c r="D60" i="91"/>
  <c r="C60" i="91"/>
  <c r="E56" i="91"/>
  <c r="D56" i="91"/>
  <c r="C56" i="91"/>
  <c r="E50" i="91"/>
  <c r="D50" i="91"/>
  <c r="C50" i="91"/>
  <c r="C84" i="91"/>
  <c r="E44" i="91"/>
  <c r="D44" i="91"/>
  <c r="C44" i="91"/>
  <c r="E38" i="91"/>
  <c r="D38" i="91"/>
  <c r="C38" i="91"/>
  <c r="E32" i="91"/>
  <c r="D32" i="91"/>
  <c r="C32" i="91"/>
  <c r="E26" i="91"/>
  <c r="D26" i="91"/>
  <c r="C26" i="91"/>
  <c r="E20" i="91"/>
  <c r="D20" i="91"/>
  <c r="C20" i="91"/>
  <c r="E14" i="91"/>
  <c r="D14" i="91"/>
  <c r="C14" i="91"/>
  <c r="E82" i="90"/>
  <c r="D82" i="90"/>
  <c r="C82" i="90"/>
  <c r="E76" i="90"/>
  <c r="D76" i="90"/>
  <c r="C76" i="90"/>
  <c r="E70" i="90"/>
  <c r="D70" i="90"/>
  <c r="C70" i="90"/>
  <c r="E60" i="90"/>
  <c r="D60" i="90"/>
  <c r="C60" i="90"/>
  <c r="E56" i="90"/>
  <c r="D56" i="90"/>
  <c r="C56" i="90"/>
  <c r="E50" i="90"/>
  <c r="D50" i="90"/>
  <c r="C50" i="90"/>
  <c r="E44" i="90"/>
  <c r="D44" i="90"/>
  <c r="C44" i="90"/>
  <c r="E38" i="90"/>
  <c r="D38" i="90"/>
  <c r="C38" i="90"/>
  <c r="E32" i="90"/>
  <c r="D32" i="90"/>
  <c r="C32" i="90"/>
  <c r="E26" i="90"/>
  <c r="D26" i="90"/>
  <c r="C26" i="90"/>
  <c r="E20" i="90"/>
  <c r="D20" i="90"/>
  <c r="C20" i="90"/>
  <c r="E14" i="90"/>
  <c r="D14" i="90"/>
  <c r="C14" i="90"/>
  <c r="E82" i="89"/>
  <c r="D82" i="89"/>
  <c r="C82" i="89"/>
  <c r="E76" i="89"/>
  <c r="D76" i="89"/>
  <c r="C76" i="89"/>
  <c r="E70" i="89"/>
  <c r="D70" i="89"/>
  <c r="C70" i="89"/>
  <c r="E60" i="89"/>
  <c r="D60" i="89"/>
  <c r="C60" i="89"/>
  <c r="E56" i="89"/>
  <c r="D56" i="89"/>
  <c r="C56" i="89"/>
  <c r="G56" i="88"/>
  <c r="E50" i="89"/>
  <c r="D50" i="89"/>
  <c r="C50" i="89"/>
  <c r="E44" i="89"/>
  <c r="D44" i="89"/>
  <c r="C44" i="89"/>
  <c r="E38" i="89"/>
  <c r="D38" i="89"/>
  <c r="C38" i="89"/>
  <c r="E32" i="89"/>
  <c r="E84" i="89"/>
  <c r="D32" i="89"/>
  <c r="C32" i="89"/>
  <c r="E26" i="89"/>
  <c r="D26" i="89"/>
  <c r="C26" i="89"/>
  <c r="E20" i="89"/>
  <c r="D20" i="89"/>
  <c r="D84" i="89"/>
  <c r="C20" i="89"/>
  <c r="E14" i="89"/>
  <c r="D14" i="89"/>
  <c r="C14" i="89"/>
  <c r="E82" i="88"/>
  <c r="D82" i="88"/>
  <c r="C82" i="88"/>
  <c r="E76" i="88"/>
  <c r="D76" i="88"/>
  <c r="C76" i="88"/>
  <c r="E70" i="88"/>
  <c r="D70" i="88"/>
  <c r="C70" i="88"/>
  <c r="E60" i="88"/>
  <c r="D60" i="88"/>
  <c r="C60" i="88"/>
  <c r="E56" i="88"/>
  <c r="D56" i="88"/>
  <c r="C56" i="88"/>
  <c r="E50" i="88"/>
  <c r="D50" i="88"/>
  <c r="C50" i="88"/>
  <c r="E44" i="88"/>
  <c r="D44" i="88"/>
  <c r="D84" i="88" s="1"/>
  <c r="C44" i="88"/>
  <c r="E38" i="88"/>
  <c r="D38" i="88"/>
  <c r="C38" i="88"/>
  <c r="E32" i="88"/>
  <c r="D32" i="88"/>
  <c r="C32" i="88"/>
  <c r="E26" i="88"/>
  <c r="E84" i="88" s="1"/>
  <c r="D26" i="88"/>
  <c r="C26" i="88"/>
  <c r="E20" i="88"/>
  <c r="D20" i="88"/>
  <c r="C20" i="88"/>
  <c r="E14" i="88"/>
  <c r="D14" i="88"/>
  <c r="C14" i="88"/>
  <c r="E78" i="87"/>
  <c r="D78" i="87"/>
  <c r="C78" i="87"/>
  <c r="E72" i="87"/>
  <c r="D72" i="87"/>
  <c r="C72" i="87"/>
  <c r="E66" i="87"/>
  <c r="D66" i="87"/>
  <c r="C66" i="87"/>
  <c r="E56" i="87"/>
  <c r="D56" i="87"/>
  <c r="C56" i="87"/>
  <c r="E50" i="87"/>
  <c r="D50" i="87"/>
  <c r="C50" i="87"/>
  <c r="E44" i="87"/>
  <c r="D44" i="87"/>
  <c r="C44" i="87"/>
  <c r="E38" i="87"/>
  <c r="D38" i="87"/>
  <c r="C38" i="87"/>
  <c r="E32" i="87"/>
  <c r="D32" i="87"/>
  <c r="C32" i="87"/>
  <c r="E26" i="87"/>
  <c r="E80" i="87" s="1"/>
  <c r="D26" i="87"/>
  <c r="C26" i="87"/>
  <c r="E20" i="87"/>
  <c r="D20" i="87"/>
  <c r="C20" i="87"/>
  <c r="E14" i="87"/>
  <c r="D14" i="87"/>
  <c r="C14" i="87"/>
  <c r="C80" i="87" s="1"/>
  <c r="E78" i="86"/>
  <c r="D78" i="86"/>
  <c r="C78" i="86"/>
  <c r="E72" i="86"/>
  <c r="D72" i="86"/>
  <c r="C72" i="86"/>
  <c r="E66" i="86"/>
  <c r="D66" i="86"/>
  <c r="C66" i="86"/>
  <c r="E56" i="86"/>
  <c r="D56" i="86"/>
  <c r="C56" i="86"/>
  <c r="E50" i="86"/>
  <c r="D50" i="86"/>
  <c r="C50" i="86"/>
  <c r="E44" i="86"/>
  <c r="D44" i="86"/>
  <c r="C44" i="86"/>
  <c r="E38" i="86"/>
  <c r="D38" i="86"/>
  <c r="C38" i="86"/>
  <c r="E32" i="86"/>
  <c r="D32" i="86"/>
  <c r="C32" i="86"/>
  <c r="E26" i="86"/>
  <c r="D26" i="86"/>
  <c r="C26" i="86"/>
  <c r="E20" i="86"/>
  <c r="D20" i="86"/>
  <c r="C20" i="86"/>
  <c r="E14" i="86"/>
  <c r="D14" i="86"/>
  <c r="D80" i="86" s="1"/>
  <c r="C14" i="86"/>
  <c r="E78" i="84"/>
  <c r="D78" i="84"/>
  <c r="C78" i="84"/>
  <c r="E72" i="84"/>
  <c r="D72" i="84"/>
  <c r="C72" i="84"/>
  <c r="E66" i="84"/>
  <c r="D66" i="84"/>
  <c r="C66" i="84"/>
  <c r="E56" i="84"/>
  <c r="D56" i="84"/>
  <c r="C56" i="84"/>
  <c r="E50" i="84"/>
  <c r="D50" i="84"/>
  <c r="C50" i="84"/>
  <c r="E44" i="84"/>
  <c r="D44" i="84"/>
  <c r="C44" i="84"/>
  <c r="E38" i="84"/>
  <c r="D38" i="84"/>
  <c r="C38" i="84"/>
  <c r="E32" i="84"/>
  <c r="D32" i="84"/>
  <c r="C32" i="84"/>
  <c r="E26" i="84"/>
  <c r="D26" i="84"/>
  <c r="C26" i="84"/>
  <c r="E20" i="84"/>
  <c r="D20" i="84"/>
  <c r="C20" i="84"/>
  <c r="E14" i="84"/>
  <c r="D14" i="84"/>
  <c r="C14" i="84"/>
  <c r="B7" i="63"/>
  <c r="C7" i="63"/>
  <c r="D7" i="63"/>
  <c r="E7" i="63"/>
  <c r="B11" i="63"/>
  <c r="C11" i="63"/>
  <c r="D11" i="63"/>
  <c r="E11" i="63"/>
  <c r="H11" i="63"/>
  <c r="J11" i="63"/>
  <c r="B12" i="63"/>
  <c r="C12" i="63"/>
  <c r="D12" i="63"/>
  <c r="E12" i="63"/>
  <c r="H12" i="63"/>
  <c r="J12" i="63"/>
  <c r="B13" i="63"/>
  <c r="C13" i="63"/>
  <c r="D13" i="63"/>
  <c r="E13" i="63"/>
  <c r="H13" i="63"/>
  <c r="J13" i="63"/>
  <c r="B14" i="63"/>
  <c r="C14" i="63"/>
  <c r="G14" i="63"/>
  <c r="J14" i="63" s="1"/>
  <c r="H14" i="63"/>
  <c r="I14" i="63"/>
  <c r="B15" i="63"/>
  <c r="C15" i="63"/>
  <c r="D15" i="63"/>
  <c r="E15" i="63"/>
  <c r="H15" i="63"/>
  <c r="J15" i="63"/>
  <c r="B16" i="63"/>
  <c r="C16" i="63"/>
  <c r="D16" i="63"/>
  <c r="E16" i="63"/>
  <c r="H16" i="63"/>
  <c r="J16" i="63"/>
  <c r="B17" i="63"/>
  <c r="C17" i="63"/>
  <c r="D17" i="63"/>
  <c r="E17" i="63"/>
  <c r="H17" i="63"/>
  <c r="J17" i="63"/>
  <c r="B18" i="63"/>
  <c r="C18" i="63"/>
  <c r="D18" i="63"/>
  <c r="E18" i="63"/>
  <c r="J18" i="63"/>
  <c r="L18" i="63"/>
  <c r="B19" i="63"/>
  <c r="C19" i="63"/>
  <c r="D19" i="63"/>
  <c r="E19" i="63"/>
  <c r="L19" i="63"/>
  <c r="H20" i="63"/>
  <c r="B25" i="63"/>
  <c r="C25" i="63"/>
  <c r="D25" i="63"/>
  <c r="E25" i="63"/>
  <c r="H25" i="63"/>
  <c r="J25" i="63"/>
  <c r="B26" i="63"/>
  <c r="C26" i="63"/>
  <c r="D26" i="63"/>
  <c r="E26" i="63"/>
  <c r="H26" i="63"/>
  <c r="J26" i="63"/>
  <c r="B27" i="63"/>
  <c r="C27" i="63"/>
  <c r="D27" i="63"/>
  <c r="E27" i="63"/>
  <c r="H27" i="63"/>
  <c r="J27" i="63"/>
  <c r="B28" i="63"/>
  <c r="C28" i="63"/>
  <c r="D28" i="63"/>
  <c r="E28" i="63"/>
  <c r="H28" i="63"/>
  <c r="B29" i="63"/>
  <c r="C29" i="63"/>
  <c r="D29" i="63"/>
  <c r="E29" i="63"/>
  <c r="H29" i="63"/>
  <c r="J29" i="63"/>
  <c r="B30" i="63"/>
  <c r="C30" i="63"/>
  <c r="D30" i="63"/>
  <c r="E30" i="63"/>
  <c r="H30" i="63"/>
  <c r="J30" i="63"/>
  <c r="B31" i="63"/>
  <c r="C31" i="63"/>
  <c r="D31" i="63"/>
  <c r="E31" i="63"/>
  <c r="H31" i="63"/>
  <c r="J31" i="63"/>
  <c r="B32" i="63"/>
  <c r="C32" i="63"/>
  <c r="D32" i="63"/>
  <c r="E32" i="63"/>
  <c r="H32" i="63"/>
  <c r="J32" i="63"/>
  <c r="L33" i="63"/>
  <c r="B38" i="63"/>
  <c r="C38" i="63"/>
  <c r="D38" i="63"/>
  <c r="E38" i="63"/>
  <c r="H38" i="63"/>
  <c r="J38" i="63"/>
  <c r="B39" i="63"/>
  <c r="C39" i="63"/>
  <c r="D39" i="63"/>
  <c r="E39" i="63"/>
  <c r="H39" i="63"/>
  <c r="J39" i="63"/>
  <c r="B40" i="63"/>
  <c r="C40" i="63"/>
  <c r="D40" i="63"/>
  <c r="E40" i="63"/>
  <c r="H40" i="63"/>
  <c r="J40" i="63"/>
  <c r="B41" i="63"/>
  <c r="C41" i="63"/>
  <c r="D41" i="63"/>
  <c r="E41" i="63"/>
  <c r="H41" i="63"/>
  <c r="B42" i="63"/>
  <c r="C42" i="63"/>
  <c r="D42" i="63"/>
  <c r="E42" i="63"/>
  <c r="H42" i="63"/>
  <c r="J42" i="63"/>
  <c r="B43" i="63"/>
  <c r="C43" i="63"/>
  <c r="D43" i="63"/>
  <c r="E43" i="63"/>
  <c r="H43" i="63"/>
  <c r="J43" i="63"/>
  <c r="B44" i="63"/>
  <c r="C44" i="63"/>
  <c r="D44" i="63"/>
  <c r="E44" i="63"/>
  <c r="H44" i="63"/>
  <c r="J44" i="63"/>
  <c r="B45" i="63"/>
  <c r="C45" i="63"/>
  <c r="D45" i="63"/>
  <c r="E45" i="63"/>
  <c r="H45" i="63"/>
  <c r="J45" i="63"/>
  <c r="B46" i="63"/>
  <c r="C46" i="63"/>
  <c r="H46" i="63"/>
  <c r="J46" i="63"/>
  <c r="B51" i="63"/>
  <c r="C51" i="63"/>
  <c r="D51" i="63"/>
  <c r="E51" i="63"/>
  <c r="H51" i="63"/>
  <c r="J51" i="63"/>
  <c r="B52" i="63"/>
  <c r="C52" i="63"/>
  <c r="D52" i="63"/>
  <c r="E52" i="63"/>
  <c r="H52" i="63"/>
  <c r="J52" i="63"/>
  <c r="B53" i="63"/>
  <c r="C53" i="63"/>
  <c r="D53" i="63"/>
  <c r="E53" i="63"/>
  <c r="H53" i="63"/>
  <c r="J53" i="63"/>
  <c r="B54" i="63"/>
  <c r="C54" i="63"/>
  <c r="I54" i="63"/>
  <c r="B55" i="63"/>
  <c r="C55" i="63"/>
  <c r="D55" i="63"/>
  <c r="E55" i="63"/>
  <c r="H55" i="63"/>
  <c r="J55" i="63"/>
  <c r="B56" i="63"/>
  <c r="C56" i="63"/>
  <c r="D56" i="63"/>
  <c r="E56" i="63"/>
  <c r="H56" i="63"/>
  <c r="J56" i="63"/>
  <c r="B57" i="63"/>
  <c r="C57" i="63"/>
  <c r="D57" i="63"/>
  <c r="E57" i="63"/>
  <c r="H57" i="63"/>
  <c r="J57" i="63"/>
  <c r="B58" i="63"/>
  <c r="C58" i="63"/>
  <c r="D58" i="63"/>
  <c r="E58" i="63"/>
  <c r="H58" i="63"/>
  <c r="J58" i="63"/>
  <c r="B59" i="63"/>
  <c r="C59" i="63"/>
  <c r="H59" i="63"/>
  <c r="L59" i="63" s="1"/>
  <c r="J59" i="63"/>
  <c r="B64" i="63"/>
  <c r="C64" i="63"/>
  <c r="D64" i="63"/>
  <c r="E64" i="63"/>
  <c r="H64" i="63"/>
  <c r="J64" i="63"/>
  <c r="B65" i="63"/>
  <c r="C65" i="63"/>
  <c r="D65" i="63"/>
  <c r="E65" i="63"/>
  <c r="H65" i="63"/>
  <c r="J65" i="63"/>
  <c r="B66" i="63"/>
  <c r="C66" i="63"/>
  <c r="D66" i="63"/>
  <c r="E66" i="63"/>
  <c r="H66" i="63"/>
  <c r="J66" i="63"/>
  <c r="B67" i="63"/>
  <c r="C67" i="63"/>
  <c r="D67" i="63"/>
  <c r="E67" i="63"/>
  <c r="H67" i="63"/>
  <c r="B68" i="63"/>
  <c r="C68" i="63"/>
  <c r="D68" i="63"/>
  <c r="E68" i="63"/>
  <c r="H68" i="63"/>
  <c r="J68" i="63"/>
  <c r="B69" i="63"/>
  <c r="C69" i="63"/>
  <c r="D69" i="63"/>
  <c r="E69" i="63"/>
  <c r="H69" i="63"/>
  <c r="J69" i="63"/>
  <c r="B70" i="63"/>
  <c r="C70" i="63"/>
  <c r="D70" i="63"/>
  <c r="E70" i="63"/>
  <c r="H70" i="63"/>
  <c r="J70" i="63"/>
  <c r="B71" i="63"/>
  <c r="C71" i="63"/>
  <c r="D71" i="63"/>
  <c r="E71" i="63"/>
  <c r="H71" i="63"/>
  <c r="J71" i="63"/>
  <c r="B72" i="63"/>
  <c r="C72" i="63"/>
  <c r="D72" i="63"/>
  <c r="E72" i="63"/>
  <c r="H72" i="63"/>
  <c r="J72" i="63"/>
  <c r="B77" i="63"/>
  <c r="C77" i="63"/>
  <c r="D77" i="63"/>
  <c r="E77" i="63"/>
  <c r="H77" i="63"/>
  <c r="J77" i="63"/>
  <c r="B78" i="63"/>
  <c r="C78" i="63"/>
  <c r="D78" i="63"/>
  <c r="E78" i="63"/>
  <c r="H78" i="63"/>
  <c r="J78" i="63"/>
  <c r="B79" i="63"/>
  <c r="C79" i="63"/>
  <c r="D79" i="63"/>
  <c r="E79" i="63"/>
  <c r="H79" i="63"/>
  <c r="J79" i="63"/>
  <c r="B80" i="63"/>
  <c r="C80" i="63"/>
  <c r="H80" i="63"/>
  <c r="J80" i="63"/>
  <c r="B81" i="63"/>
  <c r="C81" i="63"/>
  <c r="D81" i="63"/>
  <c r="E81" i="63"/>
  <c r="H81" i="63"/>
  <c r="J81" i="63"/>
  <c r="B82" i="63"/>
  <c r="C82" i="63"/>
  <c r="D82" i="63"/>
  <c r="E82" i="63"/>
  <c r="H82" i="63"/>
  <c r="J82" i="63"/>
  <c r="B83" i="63"/>
  <c r="C83" i="63"/>
  <c r="D83" i="63"/>
  <c r="E83" i="63"/>
  <c r="H83" i="63"/>
  <c r="J83" i="63"/>
  <c r="B84" i="63"/>
  <c r="C84" i="63"/>
  <c r="D84" i="63"/>
  <c r="E84" i="63"/>
  <c r="H84" i="63"/>
  <c r="J84" i="63"/>
  <c r="B85" i="63"/>
  <c r="C85" i="63"/>
  <c r="H85" i="63"/>
  <c r="J85" i="63"/>
  <c r="B90" i="63"/>
  <c r="C90" i="63"/>
  <c r="D90" i="63"/>
  <c r="E90" i="63"/>
  <c r="H90" i="63"/>
  <c r="J90" i="63"/>
  <c r="B91" i="63"/>
  <c r="C91" i="63"/>
  <c r="D91" i="63"/>
  <c r="E91" i="63"/>
  <c r="H91" i="63"/>
  <c r="J91" i="63"/>
  <c r="B92" i="63"/>
  <c r="C92" i="63"/>
  <c r="D92" i="63"/>
  <c r="E92" i="63"/>
  <c r="H92" i="63"/>
  <c r="J92" i="63"/>
  <c r="B93" i="63"/>
  <c r="C93" i="63"/>
  <c r="D93" i="63"/>
  <c r="E93" i="63"/>
  <c r="J93" i="63"/>
  <c r="B94" i="63"/>
  <c r="C94" i="63"/>
  <c r="D94" i="63"/>
  <c r="E94" i="63"/>
  <c r="H94" i="63"/>
  <c r="J94" i="63"/>
  <c r="B95" i="63"/>
  <c r="C95" i="63"/>
  <c r="D95" i="63"/>
  <c r="E95" i="63"/>
  <c r="H95" i="63"/>
  <c r="J95" i="63"/>
  <c r="B96" i="63"/>
  <c r="C96" i="63"/>
  <c r="D96" i="63"/>
  <c r="E96" i="63"/>
  <c r="H96" i="63"/>
  <c r="J96" i="63"/>
  <c r="B97" i="63"/>
  <c r="C97" i="63"/>
  <c r="D97" i="63"/>
  <c r="E97" i="63"/>
  <c r="H97" i="63"/>
  <c r="J97" i="63"/>
  <c r="B98" i="63"/>
  <c r="C98" i="63"/>
  <c r="D98" i="63"/>
  <c r="E98" i="63"/>
  <c r="J98" i="63"/>
  <c r="B103" i="63"/>
  <c r="C103" i="63"/>
  <c r="D103" i="63"/>
  <c r="E103" i="63"/>
  <c r="H103" i="63"/>
  <c r="J103" i="63"/>
  <c r="B104" i="63"/>
  <c r="C104" i="63"/>
  <c r="D104" i="63"/>
  <c r="E104" i="63"/>
  <c r="H104" i="63"/>
  <c r="J104" i="63"/>
  <c r="B105" i="63"/>
  <c r="C105" i="63"/>
  <c r="D105" i="63"/>
  <c r="E105" i="63"/>
  <c r="H105" i="63"/>
  <c r="J105" i="63"/>
  <c r="B106" i="63"/>
  <c r="C106" i="63"/>
  <c r="H106" i="63"/>
  <c r="J106" i="63"/>
  <c r="B107" i="63"/>
  <c r="C107" i="63"/>
  <c r="D107" i="63"/>
  <c r="E107" i="63"/>
  <c r="H107" i="63"/>
  <c r="J107" i="63"/>
  <c r="B108" i="63"/>
  <c r="C108" i="63"/>
  <c r="D108" i="63"/>
  <c r="E108" i="63"/>
  <c r="H108" i="63"/>
  <c r="J108" i="63"/>
  <c r="B109" i="63"/>
  <c r="C109" i="63"/>
  <c r="D109" i="63"/>
  <c r="E109" i="63"/>
  <c r="H109" i="63"/>
  <c r="J109" i="63"/>
  <c r="B110" i="63"/>
  <c r="C110" i="63"/>
  <c r="D110" i="63"/>
  <c r="E110" i="63"/>
  <c r="H110" i="63"/>
  <c r="J110" i="63"/>
  <c r="B111" i="63"/>
  <c r="C111" i="63"/>
  <c r="H111" i="63"/>
  <c r="J111" i="63"/>
  <c r="B116" i="63"/>
  <c r="C116" i="63"/>
  <c r="D116" i="63"/>
  <c r="E116" i="63"/>
  <c r="H116" i="63"/>
  <c r="J116" i="63"/>
  <c r="B117" i="63"/>
  <c r="C117" i="63"/>
  <c r="D117" i="63"/>
  <c r="E117" i="63"/>
  <c r="H117" i="63"/>
  <c r="J117" i="63"/>
  <c r="B118" i="63"/>
  <c r="C118" i="63"/>
  <c r="D118" i="63"/>
  <c r="E118" i="63"/>
  <c r="H118" i="63"/>
  <c r="J118" i="63"/>
  <c r="B119" i="63"/>
  <c r="C119" i="63"/>
  <c r="H119" i="63"/>
  <c r="I119" i="63"/>
  <c r="J119" i="63"/>
  <c r="K119" i="63" s="1"/>
  <c r="B120" i="63"/>
  <c r="C120" i="63"/>
  <c r="D120" i="63"/>
  <c r="E120" i="63"/>
  <c r="H120" i="63"/>
  <c r="J120" i="63"/>
  <c r="B121" i="63"/>
  <c r="C121" i="63"/>
  <c r="D121" i="63"/>
  <c r="E121" i="63"/>
  <c r="H121" i="63"/>
  <c r="J121" i="63"/>
  <c r="B122" i="63"/>
  <c r="C122" i="63"/>
  <c r="D122" i="63"/>
  <c r="E122" i="63"/>
  <c r="H122" i="63"/>
  <c r="J122" i="63"/>
  <c r="B123" i="63"/>
  <c r="C123" i="63"/>
  <c r="D123" i="63"/>
  <c r="E123" i="63"/>
  <c r="H123" i="63"/>
  <c r="J123" i="63"/>
  <c r="B124" i="63"/>
  <c r="C124" i="63"/>
  <c r="I124" i="63"/>
  <c r="J124" i="63"/>
  <c r="K124" i="63" s="1"/>
  <c r="B131" i="63"/>
  <c r="C131" i="63"/>
  <c r="D131" i="63"/>
  <c r="E131" i="63"/>
  <c r="H131" i="63"/>
  <c r="J131" i="63"/>
  <c r="B132" i="63"/>
  <c r="C132" i="63"/>
  <c r="D132" i="63"/>
  <c r="E132" i="63"/>
  <c r="H132" i="63"/>
  <c r="J132" i="63"/>
  <c r="B133" i="63"/>
  <c r="C133" i="63"/>
  <c r="D133" i="63"/>
  <c r="E133" i="63"/>
  <c r="H133" i="63"/>
  <c r="J133" i="63"/>
  <c r="B134" i="63"/>
  <c r="C134" i="63"/>
  <c r="D134" i="63"/>
  <c r="E134" i="63"/>
  <c r="H134" i="63"/>
  <c r="J134" i="63"/>
  <c r="B135" i="63"/>
  <c r="C135" i="63"/>
  <c r="D135" i="63"/>
  <c r="E135" i="63"/>
  <c r="H135" i="63"/>
  <c r="J135" i="63"/>
  <c r="B136" i="63"/>
  <c r="C136" i="63"/>
  <c r="D136" i="63"/>
  <c r="E136" i="63"/>
  <c r="H136" i="63"/>
  <c r="J136" i="63"/>
  <c r="B137" i="63"/>
  <c r="C137" i="63"/>
  <c r="D137" i="63"/>
  <c r="E137" i="63"/>
  <c r="H137" i="63"/>
  <c r="J137" i="63"/>
  <c r="B138" i="63"/>
  <c r="C138" i="63"/>
  <c r="D138" i="63"/>
  <c r="E138" i="63"/>
  <c r="H138" i="63"/>
  <c r="J138" i="63"/>
  <c r="B139" i="63"/>
  <c r="C139" i="63"/>
  <c r="H139" i="63"/>
  <c r="L139" i="63" s="1"/>
  <c r="I139" i="63"/>
  <c r="J139" i="63"/>
  <c r="B146" i="63"/>
  <c r="C146" i="63"/>
  <c r="D146" i="63"/>
  <c r="E146" i="63"/>
  <c r="H146" i="63"/>
  <c r="J146" i="63"/>
  <c r="B147" i="63"/>
  <c r="C147" i="63"/>
  <c r="D147" i="63"/>
  <c r="E147" i="63"/>
  <c r="H147" i="63"/>
  <c r="J147" i="63"/>
  <c r="B148" i="63"/>
  <c r="C148" i="63"/>
  <c r="D148" i="63"/>
  <c r="E148" i="63"/>
  <c r="H148" i="63"/>
  <c r="J148" i="63"/>
  <c r="B149" i="63"/>
  <c r="C149" i="63"/>
  <c r="D149" i="63"/>
  <c r="E149" i="63"/>
  <c r="H149" i="63"/>
  <c r="J149" i="63"/>
  <c r="B150" i="63"/>
  <c r="C150" i="63"/>
  <c r="D150" i="63"/>
  <c r="E150" i="63"/>
  <c r="H150" i="63"/>
  <c r="J150" i="63"/>
  <c r="B151" i="63"/>
  <c r="C151" i="63"/>
  <c r="D151" i="63"/>
  <c r="E151" i="63"/>
  <c r="H151" i="63"/>
  <c r="J151" i="63"/>
  <c r="B152" i="63"/>
  <c r="C152" i="63"/>
  <c r="D152" i="63"/>
  <c r="E152" i="63"/>
  <c r="H152" i="63"/>
  <c r="J152" i="63"/>
  <c r="B153" i="63"/>
  <c r="C153" i="63"/>
  <c r="D153" i="63"/>
  <c r="E153" i="63"/>
  <c r="H153" i="63"/>
  <c r="J153" i="63"/>
  <c r="B154" i="63"/>
  <c r="C154" i="63"/>
  <c r="G154" i="63"/>
  <c r="H154" i="63"/>
  <c r="I154" i="63"/>
  <c r="J154" i="63"/>
  <c r="B161" i="63"/>
  <c r="C161" i="63"/>
  <c r="D161" i="63"/>
  <c r="E161" i="63"/>
  <c r="H161" i="63"/>
  <c r="J161" i="63"/>
  <c r="B162" i="63"/>
  <c r="C162" i="63"/>
  <c r="D162" i="63"/>
  <c r="E162" i="63"/>
  <c r="H162" i="63"/>
  <c r="J162" i="63"/>
  <c r="B163" i="63"/>
  <c r="C163" i="63"/>
  <c r="D163" i="63"/>
  <c r="E163" i="63"/>
  <c r="H163" i="63"/>
  <c r="J163" i="63"/>
  <c r="B164" i="63"/>
  <c r="C164" i="63"/>
  <c r="D164" i="63"/>
  <c r="E164" i="63"/>
  <c r="H164" i="63"/>
  <c r="J164" i="63"/>
  <c r="B165" i="63"/>
  <c r="C165" i="63"/>
  <c r="D165" i="63"/>
  <c r="E165" i="63"/>
  <c r="H165" i="63"/>
  <c r="J165" i="63"/>
  <c r="B166" i="63"/>
  <c r="C166" i="63"/>
  <c r="D166" i="63"/>
  <c r="E166" i="63"/>
  <c r="H166" i="63"/>
  <c r="J166" i="63"/>
  <c r="B167" i="63"/>
  <c r="C167" i="63"/>
  <c r="D167" i="63"/>
  <c r="E167" i="63"/>
  <c r="H167" i="63"/>
  <c r="J167" i="63"/>
  <c r="B168" i="63"/>
  <c r="C168" i="63"/>
  <c r="D168" i="63"/>
  <c r="E168" i="63"/>
  <c r="H168" i="63"/>
  <c r="J168" i="63"/>
  <c r="B7" i="36"/>
  <c r="C7" i="36"/>
  <c r="D7" i="36"/>
  <c r="E7" i="36"/>
  <c r="B10" i="36"/>
  <c r="C10" i="36"/>
  <c r="D10" i="36"/>
  <c r="E10" i="36"/>
  <c r="B11" i="36"/>
  <c r="C11" i="36"/>
  <c r="D11" i="36"/>
  <c r="E11" i="36"/>
  <c r="H11" i="36"/>
  <c r="B12" i="36"/>
  <c r="C12" i="36"/>
  <c r="D12" i="36"/>
  <c r="E12" i="36"/>
  <c r="H12" i="36"/>
  <c r="F13" i="36"/>
  <c r="G13" i="36" s="1"/>
  <c r="I13" i="36" s="1"/>
  <c r="B14" i="36"/>
  <c r="C14" i="36"/>
  <c r="D14" i="36"/>
  <c r="E14" i="36"/>
  <c r="H14" i="36"/>
  <c r="B15" i="36"/>
  <c r="C15" i="36"/>
  <c r="D15" i="36"/>
  <c r="E15" i="36"/>
  <c r="H15" i="36"/>
  <c r="B16" i="36"/>
  <c r="C16" i="36"/>
  <c r="D16" i="36"/>
  <c r="E16" i="36"/>
  <c r="H16" i="36"/>
  <c r="B17" i="36"/>
  <c r="C17" i="36"/>
  <c r="D17" i="36"/>
  <c r="E17" i="36"/>
  <c r="H17" i="36"/>
  <c r="B21" i="36"/>
  <c r="C21" i="36"/>
  <c r="D21" i="36"/>
  <c r="E21" i="36"/>
  <c r="B22" i="36"/>
  <c r="C22" i="36"/>
  <c r="D22" i="36"/>
  <c r="E22" i="36"/>
  <c r="H22" i="36"/>
  <c r="B23" i="36"/>
  <c r="C23" i="36"/>
  <c r="D23" i="36"/>
  <c r="E23" i="36"/>
  <c r="H23" i="36"/>
  <c r="B24" i="36"/>
  <c r="C24" i="36"/>
  <c r="D24" i="36"/>
  <c r="E24" i="36"/>
  <c r="H24" i="36"/>
  <c r="B25" i="36"/>
  <c r="C25" i="36"/>
  <c r="D25" i="36"/>
  <c r="E25" i="36"/>
  <c r="H25" i="36"/>
  <c r="B26" i="36"/>
  <c r="C26" i="36"/>
  <c r="D26" i="36"/>
  <c r="E26" i="36"/>
  <c r="H26" i="36"/>
  <c r="B27" i="36"/>
  <c r="C27" i="36"/>
  <c r="D27" i="36"/>
  <c r="E27" i="36"/>
  <c r="H27" i="36"/>
  <c r="B28" i="36"/>
  <c r="C28" i="36"/>
  <c r="D28" i="36"/>
  <c r="E28" i="36"/>
  <c r="H28" i="36"/>
  <c r="B32" i="36"/>
  <c r="C32" i="36"/>
  <c r="D32" i="36"/>
  <c r="E32" i="36"/>
  <c r="B33" i="36"/>
  <c r="C33" i="36"/>
  <c r="D33" i="36"/>
  <c r="E33" i="36"/>
  <c r="H33" i="36"/>
  <c r="B34" i="36"/>
  <c r="C34" i="36"/>
  <c r="D34" i="36"/>
  <c r="E34" i="36"/>
  <c r="H34" i="36"/>
  <c r="B35" i="36"/>
  <c r="C35" i="36"/>
  <c r="D35" i="36"/>
  <c r="E35" i="36"/>
  <c r="H35" i="36"/>
  <c r="B36" i="36"/>
  <c r="C36" i="36"/>
  <c r="D36" i="36"/>
  <c r="E36" i="36"/>
  <c r="H36" i="36"/>
  <c r="B37" i="36"/>
  <c r="C37" i="36"/>
  <c r="D37" i="36"/>
  <c r="E37" i="36"/>
  <c r="H37" i="36"/>
  <c r="B38" i="36"/>
  <c r="C38" i="36"/>
  <c r="D38" i="36"/>
  <c r="E38" i="36"/>
  <c r="H38" i="36"/>
  <c r="B39" i="36"/>
  <c r="C39" i="36"/>
  <c r="D39" i="36"/>
  <c r="E39" i="36"/>
  <c r="H39" i="36"/>
  <c r="B43" i="36"/>
  <c r="C43" i="36"/>
  <c r="D43" i="36"/>
  <c r="E43" i="36"/>
  <c r="B44" i="36"/>
  <c r="C44" i="36"/>
  <c r="D44" i="36"/>
  <c r="E44" i="36"/>
  <c r="H44" i="36"/>
  <c r="B45" i="36"/>
  <c r="C45" i="36"/>
  <c r="D45" i="36"/>
  <c r="E45" i="36"/>
  <c r="H45" i="36"/>
  <c r="B46" i="36"/>
  <c r="C46" i="36"/>
  <c r="D46" i="36"/>
  <c r="E46" i="36"/>
  <c r="H46" i="36"/>
  <c r="B47" i="36"/>
  <c r="C47" i="36"/>
  <c r="D47" i="36"/>
  <c r="E47" i="36"/>
  <c r="H47" i="36"/>
  <c r="B48" i="36"/>
  <c r="C48" i="36"/>
  <c r="D48" i="36"/>
  <c r="E48" i="36"/>
  <c r="H48" i="36"/>
  <c r="B49" i="36"/>
  <c r="C49" i="36"/>
  <c r="D49" i="36"/>
  <c r="E49" i="36"/>
  <c r="H49" i="36"/>
  <c r="B50" i="36"/>
  <c r="C50" i="36"/>
  <c r="D50" i="36"/>
  <c r="E50" i="36"/>
  <c r="H50" i="36"/>
  <c r="B54" i="36"/>
  <c r="C54" i="36"/>
  <c r="D54" i="36"/>
  <c r="E54" i="36"/>
  <c r="B55" i="36"/>
  <c r="C55" i="36"/>
  <c r="D55" i="36"/>
  <c r="E55" i="36"/>
  <c r="H55" i="36"/>
  <c r="B56" i="36"/>
  <c r="C56" i="36"/>
  <c r="D56" i="36"/>
  <c r="E56" i="36"/>
  <c r="H56" i="36"/>
  <c r="B57" i="36"/>
  <c r="C57" i="36"/>
  <c r="D57" i="36"/>
  <c r="E57" i="36"/>
  <c r="H57" i="36"/>
  <c r="B58" i="36"/>
  <c r="C58" i="36"/>
  <c r="D58" i="36"/>
  <c r="E58" i="36"/>
  <c r="H58" i="36"/>
  <c r="B59" i="36"/>
  <c r="C59" i="36"/>
  <c r="D59" i="36"/>
  <c r="E59" i="36"/>
  <c r="H59" i="36"/>
  <c r="B60" i="36"/>
  <c r="C60" i="36"/>
  <c r="D60" i="36"/>
  <c r="E60" i="36"/>
  <c r="H60" i="36"/>
  <c r="B61" i="36"/>
  <c r="C61" i="36"/>
  <c r="D61" i="36"/>
  <c r="E61" i="36"/>
  <c r="H61" i="36"/>
  <c r="B65" i="36"/>
  <c r="C65" i="36"/>
  <c r="D65" i="36"/>
  <c r="E65" i="36"/>
  <c r="B66" i="36"/>
  <c r="C66" i="36"/>
  <c r="D66" i="36"/>
  <c r="E66" i="36"/>
  <c r="H66" i="36"/>
  <c r="B67" i="36"/>
  <c r="C67" i="36"/>
  <c r="D67" i="36"/>
  <c r="E67" i="36"/>
  <c r="H67" i="36"/>
  <c r="B68" i="36"/>
  <c r="C68" i="36"/>
  <c r="D68" i="36"/>
  <c r="E68" i="36"/>
  <c r="H68" i="36"/>
  <c r="B69" i="36"/>
  <c r="C69" i="36"/>
  <c r="D69" i="36"/>
  <c r="E69" i="36"/>
  <c r="B70" i="36"/>
  <c r="C70" i="36"/>
  <c r="D70" i="36"/>
  <c r="E70" i="36"/>
  <c r="H71" i="36"/>
  <c r="B72" i="36"/>
  <c r="C72" i="36"/>
  <c r="D72" i="36"/>
  <c r="E72" i="36"/>
  <c r="B73" i="36"/>
  <c r="C73" i="36"/>
  <c r="D73" i="36"/>
  <c r="E73" i="36"/>
  <c r="H74" i="36"/>
  <c r="B75" i="36"/>
  <c r="C75" i="36"/>
  <c r="D75" i="36"/>
  <c r="E75" i="36"/>
  <c r="B76" i="36"/>
  <c r="C76" i="36"/>
  <c r="D76" i="36"/>
  <c r="E76" i="36"/>
  <c r="H77" i="36"/>
  <c r="B78" i="36"/>
  <c r="C78" i="36"/>
  <c r="D78" i="36"/>
  <c r="E78" i="36"/>
  <c r="H78" i="36"/>
  <c r="B82" i="36"/>
  <c r="C82" i="36"/>
  <c r="D82" i="36"/>
  <c r="E82" i="36"/>
  <c r="B83" i="36"/>
  <c r="C83" i="36"/>
  <c r="D83" i="36"/>
  <c r="E83" i="36"/>
  <c r="H83" i="36"/>
  <c r="B84" i="36"/>
  <c r="C84" i="36"/>
  <c r="D84" i="36"/>
  <c r="E84" i="36"/>
  <c r="H84" i="36"/>
  <c r="B85" i="36"/>
  <c r="C85" i="36"/>
  <c r="D85" i="36"/>
  <c r="E85" i="36"/>
  <c r="H85" i="36"/>
  <c r="B86" i="36"/>
  <c r="C86" i="36"/>
  <c r="D86" i="36"/>
  <c r="E86" i="36"/>
  <c r="H86" i="36"/>
  <c r="B87" i="36"/>
  <c r="C87" i="36"/>
  <c r="D87" i="36"/>
  <c r="E87" i="36"/>
  <c r="H87" i="36"/>
  <c r="B88" i="36"/>
  <c r="C88" i="36"/>
  <c r="D88" i="36"/>
  <c r="E88" i="36"/>
  <c r="H88" i="36"/>
  <c r="B89" i="36"/>
  <c r="C89" i="36"/>
  <c r="D89" i="36"/>
  <c r="E89" i="36"/>
  <c r="H89" i="36"/>
  <c r="B93" i="36"/>
  <c r="C93" i="36"/>
  <c r="D93" i="36"/>
  <c r="E93" i="36"/>
  <c r="B94" i="36"/>
  <c r="C94" i="36"/>
  <c r="D94" i="36"/>
  <c r="E94" i="36"/>
  <c r="H94" i="36"/>
  <c r="B95" i="36"/>
  <c r="C95" i="36"/>
  <c r="D95" i="36"/>
  <c r="E95" i="36"/>
  <c r="H95" i="36"/>
  <c r="B96" i="36"/>
  <c r="C96" i="36"/>
  <c r="D96" i="36"/>
  <c r="E96" i="36"/>
  <c r="H96" i="36"/>
  <c r="B97" i="36"/>
  <c r="C97" i="36"/>
  <c r="D97" i="36"/>
  <c r="E97" i="36"/>
  <c r="H97" i="36"/>
  <c r="B98" i="36"/>
  <c r="C98" i="36"/>
  <c r="D98" i="36"/>
  <c r="E98" i="36"/>
  <c r="H98" i="36"/>
  <c r="B99" i="36"/>
  <c r="C99" i="36"/>
  <c r="D99" i="36"/>
  <c r="E99" i="36"/>
  <c r="H99" i="36"/>
  <c r="B100" i="36"/>
  <c r="C100" i="36"/>
  <c r="D100" i="36"/>
  <c r="E100" i="36"/>
  <c r="H100" i="36"/>
  <c r="B104" i="36"/>
  <c r="C104" i="36"/>
  <c r="D104" i="36"/>
  <c r="E104" i="36"/>
  <c r="B105" i="36"/>
  <c r="B120" i="36" s="1"/>
  <c r="C105" i="36"/>
  <c r="C120" i="36" s="1"/>
  <c r="D105" i="36"/>
  <c r="D120" i="36" s="1"/>
  <c r="E105" i="36"/>
  <c r="H105" i="36"/>
  <c r="B106" i="36"/>
  <c r="B124" i="36" s="1"/>
  <c r="C106" i="36"/>
  <c r="C124" i="36" s="1"/>
  <c r="D106" i="36"/>
  <c r="D124" i="36" s="1"/>
  <c r="E106" i="36"/>
  <c r="H106" i="36"/>
  <c r="B107" i="36"/>
  <c r="B128" i="36" s="1"/>
  <c r="C107" i="36"/>
  <c r="C128" i="36" s="1"/>
  <c r="D107" i="36"/>
  <c r="D128" i="36" s="1"/>
  <c r="E107" i="36"/>
  <c r="E128" i="36" s="1"/>
  <c r="H107" i="36"/>
  <c r="B108" i="36"/>
  <c r="B132" i="36" s="1"/>
  <c r="C108" i="36"/>
  <c r="C132" i="36" s="1"/>
  <c r="D108" i="36"/>
  <c r="D132" i="36" s="1"/>
  <c r="E108" i="36"/>
  <c r="E132" i="36" s="1"/>
  <c r="H108" i="36"/>
  <c r="B109" i="36"/>
  <c r="B136" i="36" s="1"/>
  <c r="C109" i="36"/>
  <c r="C136" i="36" s="1"/>
  <c r="D109" i="36"/>
  <c r="E109" i="36"/>
  <c r="E136" i="36" s="1"/>
  <c r="H109" i="36"/>
  <c r="B110" i="36"/>
  <c r="B140" i="36" s="1"/>
  <c r="C110" i="36"/>
  <c r="C140" i="36" s="1"/>
  <c r="D110" i="36"/>
  <c r="D140" i="36" s="1"/>
  <c r="E110" i="36"/>
  <c r="E140" i="36" s="1"/>
  <c r="H110" i="36"/>
  <c r="B111" i="36"/>
  <c r="B144" i="36" s="1"/>
  <c r="C111" i="36"/>
  <c r="C144" i="36" s="1"/>
  <c r="D111" i="36"/>
  <c r="D144" i="36" s="1"/>
  <c r="E111" i="36"/>
  <c r="E144" i="36" s="1"/>
  <c r="H111" i="36"/>
  <c r="B118" i="36"/>
  <c r="C118" i="36"/>
  <c r="D118" i="36"/>
  <c r="E118" i="36"/>
  <c r="H118" i="36"/>
  <c r="B119" i="36"/>
  <c r="C119" i="36"/>
  <c r="D119" i="36"/>
  <c r="E119" i="36"/>
  <c r="H119" i="36"/>
  <c r="B121" i="36"/>
  <c r="C121" i="36"/>
  <c r="D121" i="36"/>
  <c r="E121" i="36"/>
  <c r="B123" i="36"/>
  <c r="C123" i="36"/>
  <c r="D123" i="36"/>
  <c r="E123" i="36"/>
  <c r="H123" i="36"/>
  <c r="B125" i="36"/>
  <c r="C125" i="36"/>
  <c r="D125" i="36"/>
  <c r="E125" i="36"/>
  <c r="B127" i="36"/>
  <c r="C127" i="36"/>
  <c r="D127" i="36"/>
  <c r="E127" i="36"/>
  <c r="H127" i="36"/>
  <c r="B129" i="36"/>
  <c r="C129" i="36"/>
  <c r="D129" i="36"/>
  <c r="E129" i="36"/>
  <c r="B131" i="36"/>
  <c r="C131" i="36"/>
  <c r="D131" i="36"/>
  <c r="E131" i="36"/>
  <c r="H131" i="36"/>
  <c r="B133" i="36"/>
  <c r="C133" i="36"/>
  <c r="D133" i="36"/>
  <c r="E133" i="36"/>
  <c r="B135" i="36"/>
  <c r="C135" i="36"/>
  <c r="D135" i="36"/>
  <c r="E135" i="36"/>
  <c r="H135" i="36"/>
  <c r="B137" i="36"/>
  <c r="C137" i="36"/>
  <c r="D137" i="36"/>
  <c r="E137" i="36"/>
  <c r="B139" i="36"/>
  <c r="C139" i="36"/>
  <c r="D139" i="36"/>
  <c r="E139" i="36"/>
  <c r="H139" i="36"/>
  <c r="B141" i="36"/>
  <c r="C141" i="36"/>
  <c r="D141" i="36"/>
  <c r="E141" i="36"/>
  <c r="B143" i="36"/>
  <c r="C143" i="36"/>
  <c r="D143" i="36"/>
  <c r="E143" i="36"/>
  <c r="H143" i="36"/>
  <c r="B145" i="36"/>
  <c r="C145" i="36"/>
  <c r="D145" i="36"/>
  <c r="E145" i="36"/>
  <c r="B153" i="36"/>
  <c r="C153" i="36"/>
  <c r="D153" i="36"/>
  <c r="E153" i="36"/>
  <c r="H153" i="36"/>
  <c r="B154" i="36"/>
  <c r="C154" i="36"/>
  <c r="D154" i="36"/>
  <c r="E154" i="36"/>
  <c r="H154" i="36"/>
  <c r="B155" i="36"/>
  <c r="C155" i="36"/>
  <c r="D155" i="36"/>
  <c r="E155" i="36"/>
  <c r="H155" i="36"/>
  <c r="B156" i="36"/>
  <c r="C156" i="36"/>
  <c r="D156" i="36"/>
  <c r="E156" i="36"/>
  <c r="B157" i="36"/>
  <c r="C157" i="36"/>
  <c r="D157" i="36"/>
  <c r="E157" i="36"/>
  <c r="H157" i="36"/>
  <c r="B158" i="36"/>
  <c r="C158" i="36"/>
  <c r="D158" i="36"/>
  <c r="E158" i="36"/>
  <c r="H158" i="36"/>
  <c r="B159" i="36"/>
  <c r="C159" i="36"/>
  <c r="D159" i="36"/>
  <c r="E159" i="36"/>
  <c r="H159" i="36"/>
  <c r="B160" i="36"/>
  <c r="C160" i="36"/>
  <c r="D160" i="36"/>
  <c r="E160" i="36"/>
  <c r="H160" i="36"/>
  <c r="B167" i="36"/>
  <c r="C167" i="36"/>
  <c r="D167" i="36"/>
  <c r="E167" i="36"/>
  <c r="H167" i="36"/>
  <c r="B168" i="36"/>
  <c r="C168" i="36"/>
  <c r="D168" i="36"/>
  <c r="E168" i="36"/>
  <c r="H168" i="36"/>
  <c r="B169" i="36"/>
  <c r="C169" i="36"/>
  <c r="D169" i="36"/>
  <c r="E169" i="36"/>
  <c r="H169" i="36"/>
  <c r="B170" i="36"/>
  <c r="C170" i="36"/>
  <c r="D170" i="36"/>
  <c r="E170" i="36"/>
  <c r="H170" i="36"/>
  <c r="B171" i="36"/>
  <c r="C171" i="36"/>
  <c r="D171" i="36"/>
  <c r="E171" i="36"/>
  <c r="H171" i="36"/>
  <c r="B172" i="36"/>
  <c r="C172" i="36"/>
  <c r="D172" i="36"/>
  <c r="E172" i="36"/>
  <c r="H172" i="36"/>
  <c r="B173" i="36"/>
  <c r="C173" i="36"/>
  <c r="D173" i="36"/>
  <c r="E173" i="36"/>
  <c r="H173" i="36"/>
  <c r="B174" i="36"/>
  <c r="C174" i="36"/>
  <c r="D174" i="36"/>
  <c r="E174" i="36"/>
  <c r="H174" i="36"/>
  <c r="B7" i="45"/>
  <c r="C7" i="45"/>
  <c r="D7" i="45"/>
  <c r="E7" i="45"/>
  <c r="B11" i="45"/>
  <c r="C11" i="45"/>
  <c r="D11" i="45"/>
  <c r="E11" i="45"/>
  <c r="H11" i="45"/>
  <c r="J11" i="45"/>
  <c r="B12" i="45"/>
  <c r="C12" i="45"/>
  <c r="D12" i="45"/>
  <c r="E12" i="45"/>
  <c r="H12" i="45"/>
  <c r="J12" i="45"/>
  <c r="B13" i="45"/>
  <c r="C13" i="45"/>
  <c r="D13" i="45"/>
  <c r="E13" i="45"/>
  <c r="H13" i="45"/>
  <c r="J13" i="45"/>
  <c r="B14" i="45"/>
  <c r="C14" i="45"/>
  <c r="D14" i="45"/>
  <c r="E14" i="45"/>
  <c r="H14" i="45"/>
  <c r="J14" i="45"/>
  <c r="B15" i="45"/>
  <c r="C15" i="45"/>
  <c r="D15" i="45"/>
  <c r="E15" i="45"/>
  <c r="H15" i="45"/>
  <c r="J15" i="45"/>
  <c r="B16" i="45"/>
  <c r="C16" i="45"/>
  <c r="D16" i="45"/>
  <c r="E16" i="45"/>
  <c r="H16" i="45"/>
  <c r="J16" i="45"/>
  <c r="B17" i="45"/>
  <c r="C17" i="45"/>
  <c r="D17" i="45"/>
  <c r="E17" i="45"/>
  <c r="H17" i="45"/>
  <c r="J17" i="45"/>
  <c r="B18" i="45"/>
  <c r="C18" i="45"/>
  <c r="D18" i="45"/>
  <c r="E18" i="45"/>
  <c r="H18" i="45"/>
  <c r="J18" i="45"/>
  <c r="B23" i="45"/>
  <c r="C23" i="45"/>
  <c r="D23" i="45"/>
  <c r="E23" i="45"/>
  <c r="H23" i="45"/>
  <c r="J23" i="45"/>
  <c r="B24" i="45"/>
  <c r="C24" i="45"/>
  <c r="D24" i="45"/>
  <c r="E24" i="45"/>
  <c r="H24" i="45"/>
  <c r="J24" i="45"/>
  <c r="B25" i="45"/>
  <c r="C25" i="45"/>
  <c r="D25" i="45"/>
  <c r="E25" i="45"/>
  <c r="H25" i="45"/>
  <c r="J25" i="45"/>
  <c r="B26" i="45"/>
  <c r="C26" i="45"/>
  <c r="D26" i="45"/>
  <c r="E26" i="45"/>
  <c r="J26" i="45"/>
  <c r="B27" i="45"/>
  <c r="C27" i="45"/>
  <c r="D27" i="45"/>
  <c r="E27" i="45"/>
  <c r="H27" i="45"/>
  <c r="J27" i="45"/>
  <c r="B28" i="45"/>
  <c r="C28" i="45"/>
  <c r="D28" i="45"/>
  <c r="E28" i="45"/>
  <c r="H28" i="45"/>
  <c r="J28" i="45"/>
  <c r="B29" i="45"/>
  <c r="C29" i="45"/>
  <c r="D29" i="45"/>
  <c r="E29" i="45"/>
  <c r="H29" i="45"/>
  <c r="J29" i="45"/>
  <c r="B30" i="45"/>
  <c r="C30" i="45"/>
  <c r="D30" i="45"/>
  <c r="E30" i="45"/>
  <c r="H30" i="45"/>
  <c r="J30" i="45"/>
  <c r="B35" i="45"/>
  <c r="C35" i="45"/>
  <c r="D35" i="45"/>
  <c r="E35" i="45"/>
  <c r="H35" i="45"/>
  <c r="J35" i="45"/>
  <c r="B36" i="45"/>
  <c r="C36" i="45"/>
  <c r="D36" i="45"/>
  <c r="E36" i="45"/>
  <c r="H36" i="45"/>
  <c r="J4" i="45" s="1"/>
  <c r="J36" i="45"/>
  <c r="B37" i="45"/>
  <c r="C37" i="45"/>
  <c r="D37" i="45"/>
  <c r="E37" i="45"/>
  <c r="H37" i="45"/>
  <c r="J37" i="45"/>
  <c r="B38" i="45"/>
  <c r="C38" i="45"/>
  <c r="D38" i="45"/>
  <c r="E38" i="45"/>
  <c r="H38" i="45"/>
  <c r="J38" i="45"/>
  <c r="B39" i="45"/>
  <c r="C39" i="45"/>
  <c r="D39" i="45"/>
  <c r="E39" i="45"/>
  <c r="H39" i="45"/>
  <c r="J39" i="45"/>
  <c r="B40" i="45"/>
  <c r="C40" i="45"/>
  <c r="D40" i="45"/>
  <c r="E40" i="45"/>
  <c r="G40" i="45"/>
  <c r="H40" i="45"/>
  <c r="J40" i="45"/>
  <c r="B41" i="45"/>
  <c r="C41" i="45"/>
  <c r="D41" i="45"/>
  <c r="E41" i="45"/>
  <c r="H41" i="45"/>
  <c r="J41" i="45"/>
  <c r="B42" i="45"/>
  <c r="C42" i="45"/>
  <c r="D42" i="45"/>
  <c r="E42" i="45"/>
  <c r="H42" i="45"/>
  <c r="J42" i="45"/>
  <c r="B43" i="45"/>
  <c r="C43" i="45"/>
  <c r="D43" i="45"/>
  <c r="E43" i="45"/>
  <c r="H43" i="45"/>
  <c r="J43" i="45"/>
  <c r="B48" i="45"/>
  <c r="C48" i="45"/>
  <c r="D48" i="45"/>
  <c r="E48" i="45"/>
  <c r="H48" i="45"/>
  <c r="J48" i="45"/>
  <c r="B49" i="45"/>
  <c r="C49" i="45"/>
  <c r="D49" i="45"/>
  <c r="E49" i="45"/>
  <c r="H49" i="45"/>
  <c r="J49" i="45"/>
  <c r="B50" i="45"/>
  <c r="C50" i="45"/>
  <c r="D50" i="45"/>
  <c r="E50" i="45"/>
  <c r="H50" i="45"/>
  <c r="J50" i="45"/>
  <c r="B51" i="45"/>
  <c r="C51" i="45"/>
  <c r="D51" i="45"/>
  <c r="E51" i="45"/>
  <c r="H51" i="45"/>
  <c r="J51" i="45"/>
  <c r="B52" i="45"/>
  <c r="C52" i="45"/>
  <c r="D52" i="45"/>
  <c r="E52" i="45"/>
  <c r="H52" i="45"/>
  <c r="J52" i="45"/>
  <c r="B53" i="45"/>
  <c r="C53" i="45"/>
  <c r="D53" i="45"/>
  <c r="E53" i="45"/>
  <c r="H53" i="45"/>
  <c r="J53" i="45"/>
  <c r="B54" i="45"/>
  <c r="C54" i="45"/>
  <c r="D54" i="45"/>
  <c r="E54" i="45"/>
  <c r="H54" i="45"/>
  <c r="J54" i="45"/>
  <c r="B55" i="45"/>
  <c r="C55" i="45"/>
  <c r="D55" i="45"/>
  <c r="E55" i="45"/>
  <c r="H55" i="45"/>
  <c r="J55" i="45"/>
  <c r="B56" i="45"/>
  <c r="C56" i="45"/>
  <c r="D56" i="45"/>
  <c r="E56" i="45"/>
  <c r="H56" i="45"/>
  <c r="J56" i="45"/>
  <c r="B61" i="45"/>
  <c r="C61" i="45"/>
  <c r="D61" i="45"/>
  <c r="E61" i="45"/>
  <c r="H61" i="45"/>
  <c r="J61" i="45"/>
  <c r="B62" i="45"/>
  <c r="C62" i="45"/>
  <c r="D62" i="45"/>
  <c r="E62" i="45"/>
  <c r="H62" i="45"/>
  <c r="J62" i="45"/>
  <c r="B63" i="45"/>
  <c r="C63" i="45"/>
  <c r="D63" i="45"/>
  <c r="E63" i="45"/>
  <c r="H63" i="45"/>
  <c r="J63" i="45"/>
  <c r="B64" i="45"/>
  <c r="C64" i="45"/>
  <c r="D64" i="45"/>
  <c r="E64" i="45"/>
  <c r="H64" i="45"/>
  <c r="J64" i="45"/>
  <c r="B65" i="45"/>
  <c r="C65" i="45"/>
  <c r="D65" i="45"/>
  <c r="E65" i="45"/>
  <c r="H65" i="45"/>
  <c r="J65" i="45"/>
  <c r="B66" i="45"/>
  <c r="C66" i="45"/>
  <c r="D66" i="45"/>
  <c r="E66" i="45"/>
  <c r="H66" i="45"/>
  <c r="I66" i="45"/>
  <c r="J66" i="45"/>
  <c r="B67" i="45"/>
  <c r="C67" i="45"/>
  <c r="D67" i="45"/>
  <c r="E67" i="45"/>
  <c r="H67" i="45"/>
  <c r="J67" i="45"/>
  <c r="B68" i="45"/>
  <c r="C68" i="45"/>
  <c r="D68" i="45"/>
  <c r="E68" i="45"/>
  <c r="H68" i="45"/>
  <c r="J68" i="45"/>
  <c r="B69" i="45"/>
  <c r="C69" i="45"/>
  <c r="D69" i="45"/>
  <c r="E69" i="45"/>
  <c r="H69" i="45"/>
  <c r="J69" i="45"/>
  <c r="B74" i="45"/>
  <c r="C74" i="45"/>
  <c r="D74" i="45"/>
  <c r="E74" i="45"/>
  <c r="H74" i="45"/>
  <c r="J74" i="45"/>
  <c r="B75" i="45"/>
  <c r="C75" i="45"/>
  <c r="D75" i="45"/>
  <c r="E75" i="45"/>
  <c r="H75" i="45"/>
  <c r="J75" i="45"/>
  <c r="B76" i="45"/>
  <c r="C76" i="45"/>
  <c r="D76" i="45"/>
  <c r="E76" i="45"/>
  <c r="H76" i="45"/>
  <c r="J76" i="45"/>
  <c r="B77" i="45"/>
  <c r="C77" i="45"/>
  <c r="D77" i="45"/>
  <c r="E77" i="45"/>
  <c r="H77" i="45"/>
  <c r="J77" i="45"/>
  <c r="B78" i="45"/>
  <c r="C78" i="45"/>
  <c r="D78" i="45"/>
  <c r="E78" i="45"/>
  <c r="H78" i="45"/>
  <c r="J78" i="45"/>
  <c r="B79" i="45"/>
  <c r="C79" i="45"/>
  <c r="D79" i="45"/>
  <c r="E79" i="45"/>
  <c r="H79" i="45"/>
  <c r="J79" i="45"/>
  <c r="B80" i="45"/>
  <c r="C80" i="45"/>
  <c r="D80" i="45"/>
  <c r="E80" i="45"/>
  <c r="H80" i="45"/>
  <c r="J80" i="45"/>
  <c r="B81" i="45"/>
  <c r="C81" i="45"/>
  <c r="D81" i="45"/>
  <c r="E81" i="45"/>
  <c r="H81" i="45"/>
  <c r="J81" i="45"/>
  <c r="B82" i="45"/>
  <c r="C82" i="45"/>
  <c r="D82" i="45"/>
  <c r="E82" i="45"/>
  <c r="H82" i="45"/>
  <c r="J82" i="45"/>
  <c r="B87" i="45"/>
  <c r="C87" i="45"/>
  <c r="D87" i="45"/>
  <c r="E87" i="45"/>
  <c r="H87" i="45"/>
  <c r="J87" i="45"/>
  <c r="B88" i="45"/>
  <c r="C88" i="45"/>
  <c r="D88" i="45"/>
  <c r="E88" i="45"/>
  <c r="H88" i="45"/>
  <c r="J88" i="45"/>
  <c r="B89" i="45"/>
  <c r="C89" i="45"/>
  <c r="D89" i="45"/>
  <c r="E89" i="45"/>
  <c r="H89" i="45"/>
  <c r="J89" i="45"/>
  <c r="B90" i="45"/>
  <c r="C90" i="45"/>
  <c r="D90" i="45"/>
  <c r="E90" i="45"/>
  <c r="H90" i="45"/>
  <c r="J90" i="45"/>
  <c r="B91" i="45"/>
  <c r="C91" i="45"/>
  <c r="D91" i="45"/>
  <c r="E91" i="45"/>
  <c r="H91" i="45"/>
  <c r="J91" i="45"/>
  <c r="B92" i="45"/>
  <c r="C92" i="45"/>
  <c r="D92" i="45"/>
  <c r="E92" i="45"/>
  <c r="H92" i="45"/>
  <c r="J92" i="45"/>
  <c r="B93" i="45"/>
  <c r="C93" i="45"/>
  <c r="D93" i="45"/>
  <c r="E93" i="45"/>
  <c r="H93" i="45"/>
  <c r="J93" i="45"/>
  <c r="B94" i="45"/>
  <c r="C94" i="45"/>
  <c r="D94" i="45"/>
  <c r="E94" i="45"/>
  <c r="H94" i="45"/>
  <c r="J94" i="45"/>
  <c r="F95" i="45"/>
  <c r="I95" i="45" s="1"/>
  <c r="H95" i="45"/>
  <c r="J95" i="45"/>
  <c r="B100" i="45"/>
  <c r="C100" i="45"/>
  <c r="D100" i="45"/>
  <c r="E100" i="45"/>
  <c r="H100" i="45"/>
  <c r="J100" i="45"/>
  <c r="B101" i="45"/>
  <c r="C101" i="45"/>
  <c r="D101" i="45"/>
  <c r="E101" i="45"/>
  <c r="H101" i="45"/>
  <c r="J101" i="45"/>
  <c r="B102" i="45"/>
  <c r="C102" i="45"/>
  <c r="D102" i="45"/>
  <c r="E102" i="45"/>
  <c r="H102" i="45"/>
  <c r="J102" i="45"/>
  <c r="B103" i="45"/>
  <c r="C103" i="45"/>
  <c r="D103" i="45"/>
  <c r="E103" i="45"/>
  <c r="H103" i="45"/>
  <c r="J103" i="45"/>
  <c r="B104" i="45"/>
  <c r="C104" i="45"/>
  <c r="D104" i="45"/>
  <c r="E104" i="45"/>
  <c r="H104" i="45"/>
  <c r="J104" i="45"/>
  <c r="B105" i="45"/>
  <c r="C105" i="45"/>
  <c r="D105" i="45"/>
  <c r="E105" i="45"/>
  <c r="H105" i="45"/>
  <c r="J105" i="45"/>
  <c r="B106" i="45"/>
  <c r="C106" i="45"/>
  <c r="D106" i="45"/>
  <c r="E106" i="45"/>
  <c r="H106" i="45"/>
  <c r="J106" i="45"/>
  <c r="B107" i="45"/>
  <c r="C107" i="45"/>
  <c r="D107" i="45"/>
  <c r="E107" i="45"/>
  <c r="H107" i="45"/>
  <c r="J107" i="45"/>
  <c r="B108" i="45"/>
  <c r="C108" i="45"/>
  <c r="D108" i="45"/>
  <c r="E108" i="45"/>
  <c r="H108" i="45"/>
  <c r="J108" i="45"/>
  <c r="B113" i="45"/>
  <c r="C113" i="45"/>
  <c r="D113" i="45"/>
  <c r="E113" i="45"/>
  <c r="H113" i="45"/>
  <c r="J113" i="45"/>
  <c r="B114" i="45"/>
  <c r="C114" i="45"/>
  <c r="D114" i="45"/>
  <c r="E114" i="45"/>
  <c r="H114" i="45"/>
  <c r="J114" i="45"/>
  <c r="B115" i="45"/>
  <c r="C115" i="45"/>
  <c r="D115" i="45"/>
  <c r="E115" i="45"/>
  <c r="H115" i="45"/>
  <c r="J115" i="45"/>
  <c r="B116" i="45"/>
  <c r="C116" i="45"/>
  <c r="D116" i="45"/>
  <c r="E116" i="45"/>
  <c r="H116" i="45"/>
  <c r="J116" i="45"/>
  <c r="B117" i="45"/>
  <c r="C117" i="45"/>
  <c r="D117" i="45"/>
  <c r="E117" i="45"/>
  <c r="H117" i="45"/>
  <c r="J117" i="45"/>
  <c r="B118" i="45"/>
  <c r="C118" i="45"/>
  <c r="D118" i="45"/>
  <c r="E118" i="45"/>
  <c r="H118" i="45"/>
  <c r="J118" i="45"/>
  <c r="B119" i="45"/>
  <c r="C119" i="45"/>
  <c r="D119" i="45"/>
  <c r="E119" i="45"/>
  <c r="H119" i="45"/>
  <c r="J119" i="45"/>
  <c r="B120" i="45"/>
  <c r="C120" i="45"/>
  <c r="D120" i="45"/>
  <c r="E120" i="45"/>
  <c r="H120" i="45"/>
  <c r="J120" i="45"/>
  <c r="B121" i="45"/>
  <c r="C121" i="45"/>
  <c r="D121" i="45"/>
  <c r="E121" i="45"/>
  <c r="H121" i="45"/>
  <c r="J121" i="45"/>
  <c r="B128" i="45"/>
  <c r="C128" i="45"/>
  <c r="D128" i="45"/>
  <c r="E128" i="45"/>
  <c r="H128" i="45"/>
  <c r="J128" i="45"/>
  <c r="B129" i="45"/>
  <c r="C129" i="45"/>
  <c r="D129" i="45"/>
  <c r="E129" i="45"/>
  <c r="H129" i="45"/>
  <c r="J129" i="45"/>
  <c r="B130" i="45"/>
  <c r="C130" i="45"/>
  <c r="D130" i="45"/>
  <c r="E130" i="45"/>
  <c r="H130" i="45"/>
  <c r="J130" i="45"/>
  <c r="B131" i="45"/>
  <c r="C131" i="45"/>
  <c r="D131" i="45"/>
  <c r="E131" i="45"/>
  <c r="H131" i="45"/>
  <c r="J131" i="45"/>
  <c r="B132" i="45"/>
  <c r="C132" i="45"/>
  <c r="D132" i="45"/>
  <c r="E132" i="45"/>
  <c r="H132" i="45"/>
  <c r="J132" i="45"/>
  <c r="B133" i="45"/>
  <c r="C133" i="45"/>
  <c r="D133" i="45"/>
  <c r="E133" i="45"/>
  <c r="H133" i="45"/>
  <c r="J133" i="45"/>
  <c r="B134" i="45"/>
  <c r="C134" i="45"/>
  <c r="D134" i="45"/>
  <c r="E134" i="45"/>
  <c r="H134" i="45"/>
  <c r="J134" i="45"/>
  <c r="B135" i="45"/>
  <c r="C135" i="45"/>
  <c r="D135" i="45"/>
  <c r="E135" i="45"/>
  <c r="H135" i="45"/>
  <c r="J135" i="45"/>
  <c r="B136" i="45"/>
  <c r="C136" i="45"/>
  <c r="D136" i="45"/>
  <c r="E136" i="45"/>
  <c r="H136" i="45"/>
  <c r="J136" i="45"/>
  <c r="B143" i="45"/>
  <c r="C143" i="45"/>
  <c r="D143" i="45"/>
  <c r="E143" i="45"/>
  <c r="H143" i="45"/>
  <c r="J143" i="45"/>
  <c r="B144" i="45"/>
  <c r="C144" i="45"/>
  <c r="D144" i="45"/>
  <c r="E144" i="45"/>
  <c r="H144" i="45"/>
  <c r="J144" i="45"/>
  <c r="B145" i="45"/>
  <c r="C145" i="45"/>
  <c r="D145" i="45"/>
  <c r="E145" i="45"/>
  <c r="H145" i="45"/>
  <c r="J145" i="45"/>
  <c r="B146" i="45"/>
  <c r="C146" i="45"/>
  <c r="D146" i="45"/>
  <c r="E146" i="45"/>
  <c r="H146" i="45"/>
  <c r="J146" i="45"/>
  <c r="B147" i="45"/>
  <c r="C147" i="45"/>
  <c r="D147" i="45"/>
  <c r="E147" i="45"/>
  <c r="H147" i="45"/>
  <c r="J147" i="45"/>
  <c r="B148" i="45"/>
  <c r="C148" i="45"/>
  <c r="D148" i="45"/>
  <c r="E148" i="45"/>
  <c r="H148" i="45"/>
  <c r="J148" i="45"/>
  <c r="B149" i="45"/>
  <c r="C149" i="45"/>
  <c r="D149" i="45"/>
  <c r="E149" i="45"/>
  <c r="H149" i="45"/>
  <c r="J149" i="45"/>
  <c r="B150" i="45"/>
  <c r="C150" i="45"/>
  <c r="D150" i="45"/>
  <c r="E150" i="45"/>
  <c r="H150" i="45"/>
  <c r="J150" i="45"/>
  <c r="F151" i="45"/>
  <c r="I151" i="45" s="1"/>
  <c r="H151" i="45"/>
  <c r="J151" i="45"/>
  <c r="B158" i="45"/>
  <c r="C158" i="45"/>
  <c r="D158" i="45"/>
  <c r="E158" i="45"/>
  <c r="H158" i="45"/>
  <c r="J158" i="45"/>
  <c r="B159" i="45"/>
  <c r="C159" i="45"/>
  <c r="D159" i="45"/>
  <c r="E159" i="45"/>
  <c r="H159" i="45"/>
  <c r="J159" i="45"/>
  <c r="B160" i="45"/>
  <c r="C160" i="45"/>
  <c r="D160" i="45"/>
  <c r="E160" i="45"/>
  <c r="H160" i="45"/>
  <c r="J160" i="45"/>
  <c r="B161" i="45"/>
  <c r="C161" i="45"/>
  <c r="D161" i="45"/>
  <c r="E161" i="45"/>
  <c r="H161" i="45"/>
  <c r="J161" i="45"/>
  <c r="B162" i="45"/>
  <c r="C162" i="45"/>
  <c r="D162" i="45"/>
  <c r="E162" i="45"/>
  <c r="H162" i="45"/>
  <c r="J162" i="45"/>
  <c r="B163" i="45"/>
  <c r="C163" i="45"/>
  <c r="D163" i="45"/>
  <c r="E163" i="45"/>
  <c r="H163" i="45"/>
  <c r="J163" i="45"/>
  <c r="B164" i="45"/>
  <c r="C164" i="45"/>
  <c r="D164" i="45"/>
  <c r="E164" i="45"/>
  <c r="H164" i="45"/>
  <c r="J164" i="45"/>
  <c r="B165" i="45"/>
  <c r="C165" i="45"/>
  <c r="D165" i="45"/>
  <c r="E165" i="45"/>
  <c r="H165" i="45"/>
  <c r="J165" i="45"/>
  <c r="C14" i="43"/>
  <c r="D14" i="43"/>
  <c r="E14" i="43"/>
  <c r="C20" i="43"/>
  <c r="D20" i="43"/>
  <c r="E20" i="43"/>
  <c r="C26" i="43"/>
  <c r="D26" i="43"/>
  <c r="E26" i="43"/>
  <c r="C32" i="43"/>
  <c r="D32" i="43"/>
  <c r="E32" i="43"/>
  <c r="C38" i="43"/>
  <c r="D38" i="43"/>
  <c r="E38" i="43"/>
  <c r="C44" i="43"/>
  <c r="D44" i="43"/>
  <c r="E44" i="43"/>
  <c r="C54" i="43"/>
  <c r="D54" i="43"/>
  <c r="E54" i="43"/>
  <c r="C66" i="43"/>
  <c r="D66" i="43"/>
  <c r="E66" i="43"/>
  <c r="G9" i="47"/>
  <c r="H9" i="47" s="1"/>
  <c r="G10" i="47"/>
  <c r="H10" i="47" s="1"/>
  <c r="G11" i="47"/>
  <c r="H11" i="47" s="1"/>
  <c r="G12" i="47"/>
  <c r="H12" i="47" s="1"/>
  <c r="G13" i="47"/>
  <c r="H13" i="47" s="1"/>
  <c r="C14" i="47"/>
  <c r="D14" i="47"/>
  <c r="E14" i="47"/>
  <c r="G14" i="47"/>
  <c r="H14" i="47" s="1"/>
  <c r="G15" i="47"/>
  <c r="H15" i="47" s="1"/>
  <c r="G16" i="47"/>
  <c r="H16" i="47" s="1"/>
  <c r="G17" i="47"/>
  <c r="H17" i="47" s="1"/>
  <c r="G18" i="47"/>
  <c r="H18" i="47" s="1"/>
  <c r="G19" i="47"/>
  <c r="H19" i="47" s="1"/>
  <c r="C20" i="47"/>
  <c r="D20" i="47"/>
  <c r="E20" i="47"/>
  <c r="G20" i="47"/>
  <c r="H20" i="47" s="1"/>
  <c r="G21" i="47"/>
  <c r="H21" i="47" s="1"/>
  <c r="G22" i="47"/>
  <c r="H22" i="47" s="1"/>
  <c r="G23" i="47"/>
  <c r="H23" i="47" s="1"/>
  <c r="G24" i="47"/>
  <c r="H24" i="47" s="1"/>
  <c r="G25" i="47"/>
  <c r="H25" i="47" s="1"/>
  <c r="C26" i="47"/>
  <c r="D26" i="47"/>
  <c r="E26" i="47"/>
  <c r="G26" i="47"/>
  <c r="H26" i="47" s="1"/>
  <c r="G27" i="47"/>
  <c r="H27" i="47" s="1"/>
  <c r="G28" i="47"/>
  <c r="H28" i="47" s="1"/>
  <c r="G29" i="47"/>
  <c r="H29" i="47" s="1"/>
  <c r="G30" i="47"/>
  <c r="H30" i="47" s="1"/>
  <c r="G31" i="47"/>
  <c r="H31" i="47" s="1"/>
  <c r="C32" i="47"/>
  <c r="D32" i="47"/>
  <c r="E32" i="47"/>
  <c r="G32" i="47"/>
  <c r="G33" i="47"/>
  <c r="H33" i="47" s="1"/>
  <c r="G34" i="47"/>
  <c r="H34" i="47" s="1"/>
  <c r="G35" i="47"/>
  <c r="H35" i="47" s="1"/>
  <c r="G36" i="47"/>
  <c r="H36" i="47" s="1"/>
  <c r="G37" i="47"/>
  <c r="H37" i="47" s="1"/>
  <c r="C38" i="47"/>
  <c r="C68" i="47" s="1"/>
  <c r="D38" i="47"/>
  <c r="E38" i="47"/>
  <c r="G38" i="47"/>
  <c r="G39" i="47"/>
  <c r="H39" i="47" s="1"/>
  <c r="G40" i="47"/>
  <c r="H40" i="47" s="1"/>
  <c r="G41" i="47"/>
  <c r="H41" i="47" s="1"/>
  <c r="G42" i="47"/>
  <c r="H42" i="47" s="1"/>
  <c r="G43" i="47"/>
  <c r="H43" i="47" s="1"/>
  <c r="C44" i="47"/>
  <c r="D44" i="47"/>
  <c r="E44" i="47"/>
  <c r="G44" i="47"/>
  <c r="G45" i="47"/>
  <c r="H45" i="47" s="1"/>
  <c r="G46" i="47"/>
  <c r="H46" i="47" s="1"/>
  <c r="G47" i="47"/>
  <c r="H47" i="47" s="1"/>
  <c r="G48" i="47"/>
  <c r="H48" i="47" s="1"/>
  <c r="G49" i="47"/>
  <c r="H49" i="47" s="1"/>
  <c r="G50" i="47"/>
  <c r="H50" i="47" s="1"/>
  <c r="G51" i="47"/>
  <c r="H51" i="47" s="1"/>
  <c r="G52" i="47"/>
  <c r="H52" i="47" s="1"/>
  <c r="G53" i="47"/>
  <c r="H53" i="47" s="1"/>
  <c r="C54" i="47"/>
  <c r="D54" i="47"/>
  <c r="E54" i="47"/>
  <c r="G54" i="47"/>
  <c r="H54" i="47" s="1"/>
  <c r="G55" i="47"/>
  <c r="H55" i="47" s="1"/>
  <c r="G56" i="47"/>
  <c r="H56" i="47" s="1"/>
  <c r="G57" i="47"/>
  <c r="H57" i="47" s="1"/>
  <c r="G58" i="47"/>
  <c r="H58" i="47" s="1"/>
  <c r="G59" i="47"/>
  <c r="H59" i="47" s="1"/>
  <c r="C60" i="47"/>
  <c r="D60" i="47"/>
  <c r="E60" i="47"/>
  <c r="G60" i="47"/>
  <c r="H60" i="47" s="1"/>
  <c r="G61" i="47"/>
  <c r="H61" i="47" s="1"/>
  <c r="G62" i="47"/>
  <c r="H62" i="47" s="1"/>
  <c r="G63" i="47"/>
  <c r="H63" i="47" s="1"/>
  <c r="G64" i="47"/>
  <c r="H64" i="47" s="1"/>
  <c r="G65" i="47"/>
  <c r="H65" i="47" s="1"/>
  <c r="C66" i="47"/>
  <c r="D66" i="47"/>
  <c r="E66" i="47"/>
  <c r="G66" i="47"/>
  <c r="H66" i="47" s="1"/>
  <c r="G67" i="47"/>
  <c r="H67" i="47" s="1"/>
  <c r="G68" i="47"/>
  <c r="C14" i="44"/>
  <c r="D14" i="44"/>
  <c r="E14" i="44"/>
  <c r="C20" i="44"/>
  <c r="D20" i="44"/>
  <c r="E20" i="44"/>
  <c r="C26" i="44"/>
  <c r="D26" i="44"/>
  <c r="E26" i="44"/>
  <c r="C32" i="44"/>
  <c r="D32" i="44"/>
  <c r="E32" i="44"/>
  <c r="C38" i="44"/>
  <c r="D38" i="44"/>
  <c r="E38" i="44"/>
  <c r="C44" i="44"/>
  <c r="C68" i="44" s="1"/>
  <c r="D44" i="44"/>
  <c r="E44" i="44"/>
  <c r="C54" i="44"/>
  <c r="D54" i="44"/>
  <c r="E54" i="44"/>
  <c r="C60" i="44"/>
  <c r="D60" i="44"/>
  <c r="E60" i="44"/>
  <c r="C66" i="44"/>
  <c r="D66" i="44"/>
  <c r="E66" i="44"/>
  <c r="C14" i="46"/>
  <c r="D14" i="46"/>
  <c r="E14" i="46"/>
  <c r="C20" i="46"/>
  <c r="D20" i="46"/>
  <c r="E20" i="46"/>
  <c r="C26" i="46"/>
  <c r="D26" i="46"/>
  <c r="E26" i="46"/>
  <c r="C32" i="46"/>
  <c r="D32" i="46"/>
  <c r="E32" i="46"/>
  <c r="C38" i="46"/>
  <c r="D38" i="46"/>
  <c r="D68" i="46"/>
  <c r="E38" i="46"/>
  <c r="C44" i="46"/>
  <c r="D44" i="46"/>
  <c r="E44" i="46"/>
  <c r="C54" i="46"/>
  <c r="D54" i="46"/>
  <c r="E54" i="46"/>
  <c r="C60" i="46"/>
  <c r="D60" i="46"/>
  <c r="E60" i="46"/>
  <c r="C66" i="46"/>
  <c r="D66" i="46"/>
  <c r="E66" i="46"/>
  <c r="C14" i="48"/>
  <c r="D14" i="48"/>
  <c r="E14" i="48"/>
  <c r="C20" i="48"/>
  <c r="D20" i="48"/>
  <c r="D68" i="48" s="1"/>
  <c r="E20" i="48"/>
  <c r="C26" i="48"/>
  <c r="D26" i="48"/>
  <c r="E26" i="48"/>
  <c r="C32" i="48"/>
  <c r="D32" i="48"/>
  <c r="E32" i="48"/>
  <c r="C38" i="48"/>
  <c r="C68" i="48" s="1"/>
  <c r="D38" i="48"/>
  <c r="E38" i="48"/>
  <c r="C44" i="48"/>
  <c r="D44" i="48"/>
  <c r="E44" i="48"/>
  <c r="C54" i="48"/>
  <c r="D54" i="48"/>
  <c r="E54" i="48"/>
  <c r="C60" i="48"/>
  <c r="D60" i="48"/>
  <c r="E60" i="48"/>
  <c r="C66" i="48"/>
  <c r="D66" i="48"/>
  <c r="E66" i="48"/>
  <c r="C14" i="49"/>
  <c r="D14" i="49"/>
  <c r="D68" i="49" s="1"/>
  <c r="E14" i="49"/>
  <c r="C20" i="49"/>
  <c r="D20" i="49"/>
  <c r="E20" i="49"/>
  <c r="C26" i="49"/>
  <c r="D26" i="49"/>
  <c r="E26" i="49"/>
  <c r="E68" i="49" s="1"/>
  <c r="C32" i="49"/>
  <c r="D32" i="49"/>
  <c r="E32" i="49"/>
  <c r="C38" i="49"/>
  <c r="D38" i="49"/>
  <c r="E38" i="49"/>
  <c r="C44" i="49"/>
  <c r="D44" i="49"/>
  <c r="E44" i="49"/>
  <c r="C54" i="49"/>
  <c r="D54" i="49"/>
  <c r="E54" i="49"/>
  <c r="C60" i="49"/>
  <c r="C68" i="49" s="1"/>
  <c r="D60" i="49"/>
  <c r="E60" i="49"/>
  <c r="C66" i="49"/>
  <c r="D66" i="49"/>
  <c r="E66" i="49"/>
  <c r="C14" i="50"/>
  <c r="D14" i="50"/>
  <c r="E14" i="50"/>
  <c r="C20" i="50"/>
  <c r="D20" i="50"/>
  <c r="E20" i="50"/>
  <c r="C26" i="50"/>
  <c r="D26" i="50"/>
  <c r="E26" i="50"/>
  <c r="C32" i="50"/>
  <c r="D32" i="50"/>
  <c r="D68" i="50" s="1"/>
  <c r="E32" i="50"/>
  <c r="C38" i="50"/>
  <c r="D38" i="50"/>
  <c r="E38" i="50"/>
  <c r="C44" i="50"/>
  <c r="D44" i="50"/>
  <c r="E44" i="50"/>
  <c r="C54" i="50"/>
  <c r="D54" i="50"/>
  <c r="E54" i="50"/>
  <c r="C60" i="50"/>
  <c r="D60" i="50"/>
  <c r="E60" i="50"/>
  <c r="C66" i="50"/>
  <c r="D66" i="50"/>
  <c r="E66" i="50"/>
  <c r="C14" i="51"/>
  <c r="D14" i="51"/>
  <c r="E14" i="51"/>
  <c r="C20" i="51"/>
  <c r="D20" i="51"/>
  <c r="E20" i="51"/>
  <c r="C26" i="51"/>
  <c r="D26" i="51"/>
  <c r="E26" i="51"/>
  <c r="C32" i="51"/>
  <c r="D32" i="51"/>
  <c r="E32" i="51"/>
  <c r="C38" i="51"/>
  <c r="D38" i="51"/>
  <c r="E38" i="51"/>
  <c r="C44" i="51"/>
  <c r="D44" i="51"/>
  <c r="E44" i="51"/>
  <c r="C54" i="51"/>
  <c r="D54" i="51"/>
  <c r="E54" i="51"/>
  <c r="C60" i="51"/>
  <c r="D60" i="51"/>
  <c r="E60" i="51"/>
  <c r="C66" i="51"/>
  <c r="D66" i="51"/>
  <c r="E66" i="51"/>
  <c r="C14" i="53"/>
  <c r="D14" i="53"/>
  <c r="E14" i="53"/>
  <c r="C20" i="53"/>
  <c r="C68" i="53" s="1"/>
  <c r="D20" i="53"/>
  <c r="E20" i="53"/>
  <c r="C26" i="53"/>
  <c r="D26" i="53"/>
  <c r="E26" i="53"/>
  <c r="C32" i="53"/>
  <c r="D32" i="53"/>
  <c r="E32" i="53"/>
  <c r="E68" i="53" s="1"/>
  <c r="C38" i="53"/>
  <c r="D38" i="53"/>
  <c r="E38" i="53"/>
  <c r="C44" i="53"/>
  <c r="D44" i="53"/>
  <c r="E44" i="53"/>
  <c r="C54" i="53"/>
  <c r="D54" i="53"/>
  <c r="E54" i="53"/>
  <c r="C60" i="53"/>
  <c r="D60" i="53"/>
  <c r="E60" i="53"/>
  <c r="C66" i="53"/>
  <c r="D66" i="53"/>
  <c r="E66" i="53"/>
  <c r="C14" i="54"/>
  <c r="D14" i="54"/>
  <c r="E14" i="54"/>
  <c r="C20" i="54"/>
  <c r="D20" i="54"/>
  <c r="E20" i="54"/>
  <c r="C26" i="54"/>
  <c r="D26" i="54"/>
  <c r="E26" i="54"/>
  <c r="C32" i="54"/>
  <c r="D32" i="54"/>
  <c r="E32" i="54"/>
  <c r="C38" i="54"/>
  <c r="D38" i="54"/>
  <c r="E38" i="54"/>
  <c r="C44" i="54"/>
  <c r="C68" i="54"/>
  <c r="D44" i="54"/>
  <c r="E44" i="54"/>
  <c r="C54" i="54"/>
  <c r="D54" i="54"/>
  <c r="E54" i="54"/>
  <c r="C60" i="54"/>
  <c r="D60" i="54"/>
  <c r="E60" i="54"/>
  <c r="C66" i="54"/>
  <c r="D66" i="54"/>
  <c r="E66" i="54"/>
  <c r="C14" i="55"/>
  <c r="D14" i="55"/>
  <c r="E14" i="55"/>
  <c r="C20" i="55"/>
  <c r="D20" i="55"/>
  <c r="E20" i="55"/>
  <c r="C26" i="55"/>
  <c r="D26" i="55"/>
  <c r="E26" i="55"/>
  <c r="C32" i="55"/>
  <c r="C68" i="55"/>
  <c r="D32" i="55"/>
  <c r="E32" i="55"/>
  <c r="C38" i="55"/>
  <c r="D38" i="55"/>
  <c r="E38" i="55"/>
  <c r="C44" i="55"/>
  <c r="D44" i="55"/>
  <c r="E44" i="55"/>
  <c r="C54" i="55"/>
  <c r="D54" i="55"/>
  <c r="E54" i="55"/>
  <c r="C60" i="55"/>
  <c r="D60" i="55"/>
  <c r="E60" i="55"/>
  <c r="C66" i="55"/>
  <c r="D66" i="55"/>
  <c r="E66" i="55"/>
  <c r="C14" i="56"/>
  <c r="C68" i="56" s="1"/>
  <c r="D14" i="56"/>
  <c r="E14" i="56"/>
  <c r="C20" i="56"/>
  <c r="D20" i="56"/>
  <c r="E20" i="56"/>
  <c r="C26" i="56"/>
  <c r="D26" i="56"/>
  <c r="E26" i="56"/>
  <c r="E68" i="56" s="1"/>
  <c r="C32" i="56"/>
  <c r="D32" i="56"/>
  <c r="E32" i="56"/>
  <c r="C38" i="56"/>
  <c r="D38" i="56"/>
  <c r="E38" i="56"/>
  <c r="C44" i="56"/>
  <c r="D44" i="56"/>
  <c r="E44" i="56"/>
  <c r="C54" i="56"/>
  <c r="D54" i="56"/>
  <c r="E54" i="56"/>
  <c r="C60" i="56"/>
  <c r="D60" i="56"/>
  <c r="E60" i="56"/>
  <c r="C66" i="56"/>
  <c r="D66" i="56"/>
  <c r="E66" i="56"/>
  <c r="C14" i="57"/>
  <c r="D14" i="57"/>
  <c r="E14" i="57"/>
  <c r="C20" i="57"/>
  <c r="C68" i="57" s="1"/>
  <c r="D20" i="57"/>
  <c r="E20" i="57"/>
  <c r="C26" i="57"/>
  <c r="D26" i="57"/>
  <c r="E26" i="57"/>
  <c r="C32" i="57"/>
  <c r="D32" i="57"/>
  <c r="E32" i="57"/>
  <c r="E68" i="57" s="1"/>
  <c r="C38" i="57"/>
  <c r="D38" i="57"/>
  <c r="E38" i="57"/>
  <c r="C44" i="57"/>
  <c r="D44" i="57"/>
  <c r="E44" i="57"/>
  <c r="C54" i="57"/>
  <c r="D54" i="57"/>
  <c r="D68" i="57" s="1"/>
  <c r="E54" i="57"/>
  <c r="C60" i="57"/>
  <c r="D60" i="57"/>
  <c r="E60" i="57"/>
  <c r="C66" i="57"/>
  <c r="D66" i="57"/>
  <c r="E66" i="57"/>
  <c r="C14" i="58"/>
  <c r="C68" i="58" s="1"/>
  <c r="D14" i="58"/>
  <c r="E14" i="58"/>
  <c r="C20" i="58"/>
  <c r="D20" i="58"/>
  <c r="E20" i="58"/>
  <c r="C26" i="58"/>
  <c r="D26" i="58"/>
  <c r="E26" i="58"/>
  <c r="E68" i="58" s="1"/>
  <c r="C32" i="58"/>
  <c r="D32" i="58"/>
  <c r="D68" i="58" s="1"/>
  <c r="E32" i="58"/>
  <c r="C38" i="58"/>
  <c r="D38" i="58"/>
  <c r="E38" i="58"/>
  <c r="C44" i="58"/>
  <c r="D44" i="58"/>
  <c r="E44" i="58"/>
  <c r="C54" i="58"/>
  <c r="D54" i="58"/>
  <c r="E54" i="58"/>
  <c r="C60" i="58"/>
  <c r="D60" i="58"/>
  <c r="E60" i="58"/>
  <c r="C66" i="58"/>
  <c r="D66" i="58"/>
  <c r="E66" i="58"/>
  <c r="C14" i="59"/>
  <c r="D14" i="59"/>
  <c r="E14" i="59"/>
  <c r="C20" i="59"/>
  <c r="D20" i="59"/>
  <c r="E20" i="59"/>
  <c r="E68" i="59" s="1"/>
  <c r="C26" i="59"/>
  <c r="D26" i="59"/>
  <c r="E26" i="59"/>
  <c r="C32" i="59"/>
  <c r="D32" i="59"/>
  <c r="E32" i="59"/>
  <c r="C38" i="59"/>
  <c r="D38" i="59"/>
  <c r="E38" i="59"/>
  <c r="C44" i="59"/>
  <c r="D44" i="59"/>
  <c r="E44" i="59"/>
  <c r="C54" i="59"/>
  <c r="D54" i="59"/>
  <c r="E54" i="59"/>
  <c r="C60" i="59"/>
  <c r="D60" i="59"/>
  <c r="E60" i="59"/>
  <c r="C66" i="59"/>
  <c r="D66" i="59"/>
  <c r="E66" i="59"/>
  <c r="C14" i="60"/>
  <c r="D14" i="60"/>
  <c r="E14" i="60"/>
  <c r="E68" i="60" s="1"/>
  <c r="C20" i="60"/>
  <c r="D20" i="60"/>
  <c r="D68" i="60" s="1"/>
  <c r="E20" i="60"/>
  <c r="C26" i="60"/>
  <c r="C68" i="60" s="1"/>
  <c r="D26" i="60"/>
  <c r="E26" i="60"/>
  <c r="C32" i="60"/>
  <c r="D32" i="60"/>
  <c r="E32" i="60"/>
  <c r="C38" i="60"/>
  <c r="D38" i="60"/>
  <c r="E38" i="60"/>
  <c r="C44" i="60"/>
  <c r="D44" i="60"/>
  <c r="E44" i="60"/>
  <c r="C54" i="60"/>
  <c r="D54" i="60"/>
  <c r="E54" i="60"/>
  <c r="C60" i="60"/>
  <c r="D60" i="60"/>
  <c r="E60" i="60"/>
  <c r="C66" i="60"/>
  <c r="D66" i="60"/>
  <c r="E66" i="60"/>
  <c r="D9" i="61"/>
  <c r="D10" i="61"/>
  <c r="D11" i="61"/>
  <c r="D12" i="61"/>
  <c r="C14" i="61"/>
  <c r="E14" i="61"/>
  <c r="C20" i="61"/>
  <c r="D20" i="61"/>
  <c r="E20" i="61"/>
  <c r="C26" i="61"/>
  <c r="D26" i="61"/>
  <c r="E26" i="61"/>
  <c r="C32" i="61"/>
  <c r="D32" i="61"/>
  <c r="E32" i="61"/>
  <c r="C38" i="61"/>
  <c r="D38" i="61"/>
  <c r="E38" i="61"/>
  <c r="C44" i="61"/>
  <c r="C68" i="61" s="1"/>
  <c r="D44" i="61"/>
  <c r="E44" i="61"/>
  <c r="C54" i="61"/>
  <c r="D54" i="61"/>
  <c r="E54" i="61"/>
  <c r="C60" i="61"/>
  <c r="D60" i="61"/>
  <c r="E60" i="61"/>
  <c r="C66" i="61"/>
  <c r="D66" i="61"/>
  <c r="E66" i="61"/>
  <c r="H9" i="62"/>
  <c r="H10" i="62"/>
  <c r="H11" i="62"/>
  <c r="H12" i="62"/>
  <c r="H13" i="62"/>
  <c r="C14" i="62"/>
  <c r="D14" i="62"/>
  <c r="H14" i="62" s="1"/>
  <c r="E14" i="62"/>
  <c r="H16" i="62"/>
  <c r="H17" i="62"/>
  <c r="H18" i="62"/>
  <c r="H19" i="62"/>
  <c r="C20" i="62"/>
  <c r="D20" i="62"/>
  <c r="H20" i="62" s="1"/>
  <c r="E20" i="62"/>
  <c r="H22" i="62"/>
  <c r="H23" i="62"/>
  <c r="H24" i="62"/>
  <c r="H25" i="62"/>
  <c r="C26" i="62"/>
  <c r="D26" i="62"/>
  <c r="H26" i="62" s="1"/>
  <c r="E26" i="62"/>
  <c r="H28" i="62"/>
  <c r="H29" i="62"/>
  <c r="H30" i="62"/>
  <c r="H31" i="62"/>
  <c r="C32" i="62"/>
  <c r="D32" i="62"/>
  <c r="E32" i="62"/>
  <c r="H34" i="62"/>
  <c r="H35" i="62"/>
  <c r="H36" i="62"/>
  <c r="H37" i="62"/>
  <c r="C38" i="62"/>
  <c r="D38" i="62"/>
  <c r="H38" i="62" s="1"/>
  <c r="E38" i="62"/>
  <c r="H39" i="62"/>
  <c r="H40" i="62"/>
  <c r="H41" i="62"/>
  <c r="H42" i="62"/>
  <c r="H43" i="62"/>
  <c r="C44" i="62"/>
  <c r="D44" i="62"/>
  <c r="H44" i="62"/>
  <c r="E44" i="62"/>
  <c r="H45" i="62"/>
  <c r="H46" i="62"/>
  <c r="H47" i="62"/>
  <c r="H48" i="62"/>
  <c r="H49" i="62"/>
  <c r="H50" i="62"/>
  <c r="H51" i="62"/>
  <c r="H52" i="62"/>
  <c r="H53" i="62"/>
  <c r="C54" i="62"/>
  <c r="D54" i="62"/>
  <c r="H54" i="62" s="1"/>
  <c r="E54" i="62"/>
  <c r="H55" i="62"/>
  <c r="H56" i="62"/>
  <c r="H57" i="62"/>
  <c r="H58" i="62"/>
  <c r="H59" i="62"/>
  <c r="C60" i="62"/>
  <c r="D60" i="62"/>
  <c r="H60" i="62"/>
  <c r="E60" i="62"/>
  <c r="H61" i="62"/>
  <c r="H62" i="62"/>
  <c r="H63" i="62"/>
  <c r="H64" i="62"/>
  <c r="H65" i="62"/>
  <c r="C66" i="62"/>
  <c r="D66" i="62"/>
  <c r="H66" i="62" s="1"/>
  <c r="E66" i="62"/>
  <c r="H67" i="62"/>
  <c r="C14" i="64"/>
  <c r="D14" i="64"/>
  <c r="H9" i="64"/>
  <c r="E14" i="64"/>
  <c r="C20" i="64"/>
  <c r="D20" i="64"/>
  <c r="H10" i="64"/>
  <c r="E20" i="64"/>
  <c r="C26" i="64"/>
  <c r="D26" i="64"/>
  <c r="H11" i="64" s="1"/>
  <c r="E26" i="64"/>
  <c r="E68" i="64" s="1"/>
  <c r="C32" i="64"/>
  <c r="D32" i="64"/>
  <c r="E32" i="64"/>
  <c r="C38" i="64"/>
  <c r="D38" i="64"/>
  <c r="H13" i="64" s="1"/>
  <c r="E38" i="64"/>
  <c r="C44" i="64"/>
  <c r="D44" i="64"/>
  <c r="H14" i="64"/>
  <c r="E44" i="64"/>
  <c r="C54" i="64"/>
  <c r="D54" i="64"/>
  <c r="E54" i="64"/>
  <c r="C60" i="64"/>
  <c r="D60" i="64"/>
  <c r="E60" i="64"/>
  <c r="C66" i="64"/>
  <c r="D66" i="64"/>
  <c r="E66" i="64"/>
  <c r="E34" i="65"/>
  <c r="E38" i="65" s="1"/>
  <c r="E35" i="65"/>
  <c r="E36" i="65"/>
  <c r="E37" i="65"/>
  <c r="C38" i="65"/>
  <c r="D38" i="65"/>
  <c r="G45" i="65"/>
  <c r="C72" i="65"/>
  <c r="D72" i="65"/>
  <c r="E72" i="65"/>
  <c r="C14" i="66"/>
  <c r="D14" i="66"/>
  <c r="E14" i="66"/>
  <c r="C20" i="66"/>
  <c r="C68" i="66" s="1"/>
  <c r="D20" i="66"/>
  <c r="E20" i="66"/>
  <c r="C26" i="66"/>
  <c r="D26" i="66"/>
  <c r="E26" i="66"/>
  <c r="C32" i="66"/>
  <c r="D32" i="66"/>
  <c r="E32" i="66"/>
  <c r="C38" i="66"/>
  <c r="D38" i="66"/>
  <c r="E38" i="66"/>
  <c r="C44" i="66"/>
  <c r="D44" i="66"/>
  <c r="E44" i="66"/>
  <c r="C54" i="66"/>
  <c r="D54" i="66"/>
  <c r="E54" i="66"/>
  <c r="C60" i="66"/>
  <c r="D60" i="66"/>
  <c r="E60" i="66"/>
  <c r="C66" i="66"/>
  <c r="D66" i="66"/>
  <c r="E66" i="66"/>
  <c r="F1" i="67"/>
  <c r="G1" i="67" s="1"/>
  <c r="A2" i="67"/>
  <c r="B2" i="67"/>
  <c r="B8" i="67" s="1"/>
  <c r="C2" i="67"/>
  <c r="C8" i="67" s="1"/>
  <c r="D2" i="67"/>
  <c r="D8" i="67" s="1"/>
  <c r="E2" i="67"/>
  <c r="E8" i="67" s="1"/>
  <c r="F2" i="67"/>
  <c r="G4" i="67"/>
  <c r="B7" i="67"/>
  <c r="C7" i="67"/>
  <c r="D7" i="67"/>
  <c r="E7" i="67"/>
  <c r="A9" i="67"/>
  <c r="B9" i="67"/>
  <c r="C9" i="67"/>
  <c r="D9" i="67"/>
  <c r="E9" i="67"/>
  <c r="B10" i="67"/>
  <c r="C10" i="67"/>
  <c r="D10" i="67"/>
  <c r="E10" i="67"/>
  <c r="B11" i="67"/>
  <c r="C11" i="67"/>
  <c r="D11" i="67"/>
  <c r="E11" i="67"/>
  <c r="B12" i="67"/>
  <c r="C12" i="67"/>
  <c r="D12" i="67"/>
  <c r="E12" i="67"/>
  <c r="F12" i="67"/>
  <c r="B13" i="67"/>
  <c r="C13" i="67"/>
  <c r="D13" i="67"/>
  <c r="E13" i="67"/>
  <c r="F13" i="67"/>
  <c r="B14" i="67"/>
  <c r="C14" i="67"/>
  <c r="D14" i="67"/>
  <c r="E14" i="67"/>
  <c r="F14" i="67"/>
  <c r="B25" i="67"/>
  <c r="C25" i="67"/>
  <c r="D25" i="67"/>
  <c r="E25" i="67"/>
  <c r="F25" i="67"/>
  <c r="B26" i="67"/>
  <c r="C26" i="67"/>
  <c r="D26" i="67"/>
  <c r="E26" i="67"/>
  <c r="F26" i="67"/>
  <c r="B27" i="67"/>
  <c r="C27" i="67"/>
  <c r="D27" i="67"/>
  <c r="E27" i="67"/>
  <c r="F27" i="67"/>
  <c r="B28" i="67"/>
  <c r="C28" i="67"/>
  <c r="D28" i="67"/>
  <c r="E28" i="67"/>
  <c r="F28" i="67"/>
  <c r="B29" i="67"/>
  <c r="C29" i="67"/>
  <c r="D29" i="67"/>
  <c r="E29" i="67"/>
  <c r="F29" i="67"/>
  <c r="B30" i="67"/>
  <c r="C30" i="67"/>
  <c r="D30" i="67"/>
  <c r="E30" i="67"/>
  <c r="F30" i="67"/>
  <c r="B31" i="67"/>
  <c r="C31" i="67"/>
  <c r="D31" i="67"/>
  <c r="E31" i="67"/>
  <c r="F31" i="67"/>
  <c r="B32" i="67"/>
  <c r="C32" i="67"/>
  <c r="D32" i="67"/>
  <c r="E32" i="67"/>
  <c r="F32" i="67"/>
  <c r="B33" i="67"/>
  <c r="C33" i="67"/>
  <c r="D33" i="67"/>
  <c r="E33" i="67"/>
  <c r="F33" i="67"/>
  <c r="B34" i="67"/>
  <c r="C34" i="67"/>
  <c r="D34" i="67"/>
  <c r="E34" i="67"/>
  <c r="F34" i="67"/>
  <c r="B35" i="67"/>
  <c r="C35" i="67"/>
  <c r="D35" i="67"/>
  <c r="E35" i="67"/>
  <c r="F35" i="67"/>
  <c r="B36" i="67"/>
  <c r="C36" i="67"/>
  <c r="D36" i="67"/>
  <c r="E36" i="67"/>
  <c r="F36" i="67"/>
  <c r="B37" i="67"/>
  <c r="C37" i="67"/>
  <c r="D37" i="67"/>
  <c r="E37" i="67"/>
  <c r="F37" i="67"/>
  <c r="B38" i="67"/>
  <c r="C38" i="67"/>
  <c r="D38" i="67"/>
  <c r="E38" i="67"/>
  <c r="F38" i="67"/>
  <c r="B39" i="67"/>
  <c r="C39" i="67"/>
  <c r="D39" i="67"/>
  <c r="E39" i="67"/>
  <c r="F39" i="67"/>
  <c r="B40" i="67"/>
  <c r="C40" i="67"/>
  <c r="D40" i="67"/>
  <c r="E40" i="67"/>
  <c r="F40" i="67"/>
  <c r="B41" i="67"/>
  <c r="C41" i="67"/>
  <c r="D41" i="67"/>
  <c r="E41" i="67"/>
  <c r="F41" i="67"/>
  <c r="B42" i="67"/>
  <c r="C42" i="67"/>
  <c r="D42" i="67"/>
  <c r="E42" i="67"/>
  <c r="F42" i="67"/>
  <c r="F43" i="67"/>
  <c r="G43" i="67" s="1"/>
  <c r="A44" i="67"/>
  <c r="B44" i="67"/>
  <c r="C44" i="67"/>
  <c r="D44" i="67"/>
  <c r="E44" i="67"/>
  <c r="F44" i="67"/>
  <c r="B45" i="67"/>
  <c r="C45" i="67"/>
  <c r="D45" i="67"/>
  <c r="E45" i="67"/>
  <c r="F45" i="67"/>
  <c r="B46" i="67"/>
  <c r="C46" i="67"/>
  <c r="D46" i="67"/>
  <c r="E46" i="67"/>
  <c r="B47" i="67"/>
  <c r="C47" i="67"/>
  <c r="D47" i="67"/>
  <c r="E47" i="67"/>
  <c r="B48" i="67"/>
  <c r="C48" i="67"/>
  <c r="D48" i="67"/>
  <c r="E48" i="67"/>
  <c r="A49" i="67"/>
  <c r="B49" i="67"/>
  <c r="C49" i="67"/>
  <c r="D49" i="67"/>
  <c r="E49" i="67"/>
  <c r="F49" i="67"/>
  <c r="A50" i="67"/>
  <c r="B50" i="67"/>
  <c r="C50" i="67"/>
  <c r="D50" i="67"/>
  <c r="E50" i="67"/>
  <c r="A51" i="67"/>
  <c r="B51" i="67"/>
  <c r="C51" i="67"/>
  <c r="D51" i="67"/>
  <c r="E51" i="67"/>
  <c r="A52" i="67"/>
  <c r="B52" i="67"/>
  <c r="C52" i="67"/>
  <c r="D52" i="67"/>
  <c r="E52" i="67"/>
  <c r="B56" i="67"/>
  <c r="C56" i="67"/>
  <c r="D56" i="67"/>
  <c r="E56" i="67"/>
  <c r="F56" i="67"/>
  <c r="B57" i="67"/>
  <c r="C57" i="67"/>
  <c r="D57" i="67"/>
  <c r="E57" i="67"/>
  <c r="F57" i="67"/>
  <c r="B58" i="67"/>
  <c r="C58" i="67"/>
  <c r="D58" i="67"/>
  <c r="E58" i="67"/>
  <c r="F58" i="67"/>
  <c r="B60" i="67"/>
  <c r="C60" i="67"/>
  <c r="D60" i="67"/>
  <c r="E60" i="67"/>
  <c r="F60" i="67"/>
  <c r="A61" i="67"/>
  <c r="B70" i="67"/>
  <c r="G70" i="67" s="1"/>
  <c r="B74" i="67"/>
  <c r="C74" i="67"/>
  <c r="D74" i="67"/>
  <c r="E74" i="67"/>
  <c r="F74" i="67"/>
  <c r="C14" i="68"/>
  <c r="D14" i="68"/>
  <c r="E14" i="68"/>
  <c r="C20" i="68"/>
  <c r="D20" i="68"/>
  <c r="E20" i="68"/>
  <c r="C26" i="68"/>
  <c r="C68" i="68" s="1"/>
  <c r="D26" i="68"/>
  <c r="E26" i="68"/>
  <c r="C32" i="68"/>
  <c r="D32" i="68"/>
  <c r="E32" i="68"/>
  <c r="C38" i="68"/>
  <c r="D38" i="68"/>
  <c r="E38" i="68"/>
  <c r="E68" i="68" s="1"/>
  <c r="C44" i="68"/>
  <c r="D44" i="68"/>
  <c r="E44" i="68"/>
  <c r="C54" i="68"/>
  <c r="D54" i="68"/>
  <c r="E54" i="68"/>
  <c r="C60" i="68"/>
  <c r="D60" i="68"/>
  <c r="D68" i="68" s="1"/>
  <c r="E60" i="68"/>
  <c r="C66" i="68"/>
  <c r="D66" i="68"/>
  <c r="E66" i="68"/>
  <c r="C14" i="69"/>
  <c r="D14" i="69"/>
  <c r="E14" i="69"/>
  <c r="C20" i="69"/>
  <c r="D20" i="69"/>
  <c r="E20" i="69"/>
  <c r="C26" i="69"/>
  <c r="D26" i="69"/>
  <c r="E26" i="69"/>
  <c r="C32" i="69"/>
  <c r="D32" i="69"/>
  <c r="E32" i="69"/>
  <c r="C38" i="69"/>
  <c r="D38" i="69"/>
  <c r="E38" i="69"/>
  <c r="C44" i="69"/>
  <c r="D44" i="69"/>
  <c r="E44" i="69"/>
  <c r="C54" i="69"/>
  <c r="D54" i="69"/>
  <c r="E54" i="69"/>
  <c r="C60" i="69"/>
  <c r="D60" i="69"/>
  <c r="E60" i="69"/>
  <c r="C66" i="69"/>
  <c r="D66" i="69"/>
  <c r="E66" i="69"/>
  <c r="C14" i="71"/>
  <c r="D14" i="71"/>
  <c r="E14" i="71"/>
  <c r="C20" i="71"/>
  <c r="D20" i="71"/>
  <c r="D68" i="71" s="1"/>
  <c r="E20" i="71"/>
  <c r="E68" i="71" s="1"/>
  <c r="C26" i="71"/>
  <c r="D26" i="71"/>
  <c r="E26" i="71"/>
  <c r="C32" i="71"/>
  <c r="D32" i="71"/>
  <c r="E32" i="71"/>
  <c r="C38" i="71"/>
  <c r="D38" i="71"/>
  <c r="E38" i="71"/>
  <c r="C44" i="71"/>
  <c r="D44" i="71"/>
  <c r="E44" i="71"/>
  <c r="C54" i="71"/>
  <c r="D54" i="71"/>
  <c r="E54" i="71"/>
  <c r="C60" i="71"/>
  <c r="D60" i="71"/>
  <c r="E60" i="71"/>
  <c r="C66" i="71"/>
  <c r="D66" i="71"/>
  <c r="E66" i="71"/>
  <c r="C14" i="72"/>
  <c r="D14" i="72"/>
  <c r="D68" i="72" s="1"/>
  <c r="E14" i="72"/>
  <c r="C20" i="72"/>
  <c r="D20" i="72"/>
  <c r="E20" i="72"/>
  <c r="C26" i="72"/>
  <c r="D26" i="72"/>
  <c r="E26" i="72"/>
  <c r="C32" i="72"/>
  <c r="D32" i="72"/>
  <c r="E32" i="72"/>
  <c r="C38" i="72"/>
  <c r="D38" i="72"/>
  <c r="E38" i="72"/>
  <c r="C44" i="72"/>
  <c r="D44" i="72"/>
  <c r="E44" i="72"/>
  <c r="E68" i="72" s="1"/>
  <c r="C54" i="72"/>
  <c r="D54" i="72"/>
  <c r="E54" i="72"/>
  <c r="C60" i="72"/>
  <c r="D60" i="72"/>
  <c r="E60" i="72"/>
  <c r="C66" i="72"/>
  <c r="D66" i="72"/>
  <c r="E66" i="72"/>
  <c r="C14" i="74"/>
  <c r="D14" i="74"/>
  <c r="E14" i="74"/>
  <c r="C20" i="74"/>
  <c r="D20" i="74"/>
  <c r="E20" i="74"/>
  <c r="C26" i="74"/>
  <c r="D26" i="74"/>
  <c r="E26" i="74"/>
  <c r="C32" i="74"/>
  <c r="D32" i="74"/>
  <c r="E32" i="74"/>
  <c r="E68" i="74"/>
  <c r="C38" i="74"/>
  <c r="D38" i="74"/>
  <c r="E38" i="74"/>
  <c r="C44" i="74"/>
  <c r="D44" i="74"/>
  <c r="E44" i="74"/>
  <c r="C54" i="74"/>
  <c r="D54" i="74"/>
  <c r="D68" i="74" s="1"/>
  <c r="E54" i="74"/>
  <c r="C60" i="74"/>
  <c r="D60" i="74"/>
  <c r="E60" i="74"/>
  <c r="C66" i="74"/>
  <c r="D66" i="74"/>
  <c r="E66" i="74"/>
  <c r="C14" i="75"/>
  <c r="C68" i="75" s="1"/>
  <c r="D14" i="75"/>
  <c r="E14" i="75"/>
  <c r="C20" i="75"/>
  <c r="D20" i="75"/>
  <c r="E20" i="75"/>
  <c r="C26" i="75"/>
  <c r="D26" i="75"/>
  <c r="D68" i="75"/>
  <c r="E26" i="75"/>
  <c r="C32" i="75"/>
  <c r="D32" i="75"/>
  <c r="E32" i="75"/>
  <c r="C38" i="75"/>
  <c r="D38" i="75"/>
  <c r="E38" i="75"/>
  <c r="C44" i="75"/>
  <c r="D44" i="75"/>
  <c r="E44" i="75"/>
  <c r="C54" i="75"/>
  <c r="D54" i="75"/>
  <c r="E54" i="75"/>
  <c r="C60" i="75"/>
  <c r="D60" i="75"/>
  <c r="E60" i="75"/>
  <c r="C66" i="75"/>
  <c r="D66" i="75"/>
  <c r="E66" i="75"/>
  <c r="C14" i="76"/>
  <c r="D14" i="76"/>
  <c r="E14" i="76"/>
  <c r="C20" i="76"/>
  <c r="C68" i="76" s="1"/>
  <c r="D20" i="76"/>
  <c r="D68" i="76" s="1"/>
  <c r="E20" i="76"/>
  <c r="C26" i="76"/>
  <c r="D26" i="76"/>
  <c r="E26" i="76"/>
  <c r="C32" i="76"/>
  <c r="D32" i="76"/>
  <c r="E32" i="76"/>
  <c r="E68" i="76" s="1"/>
  <c r="C38" i="76"/>
  <c r="D38" i="76"/>
  <c r="E38" i="76"/>
  <c r="C44" i="76"/>
  <c r="D44" i="76"/>
  <c r="E44" i="76"/>
  <c r="C54" i="76"/>
  <c r="D54" i="76"/>
  <c r="E54" i="76"/>
  <c r="C60" i="76"/>
  <c r="D60" i="76"/>
  <c r="E60" i="76"/>
  <c r="C66" i="76"/>
  <c r="D66" i="76"/>
  <c r="E66" i="76"/>
  <c r="C14" i="78"/>
  <c r="D14" i="78"/>
  <c r="E14" i="78"/>
  <c r="C20" i="78"/>
  <c r="D20" i="78"/>
  <c r="E20" i="78"/>
  <c r="C26" i="78"/>
  <c r="D26" i="78"/>
  <c r="E26" i="78"/>
  <c r="C32" i="78"/>
  <c r="D32" i="78"/>
  <c r="E32" i="78"/>
  <c r="C38" i="78"/>
  <c r="D38" i="78"/>
  <c r="E38" i="78"/>
  <c r="C44" i="78"/>
  <c r="D44" i="78"/>
  <c r="E44" i="78"/>
  <c r="C54" i="78"/>
  <c r="D54" i="78"/>
  <c r="E54" i="78"/>
  <c r="C60" i="78"/>
  <c r="D60" i="78"/>
  <c r="E60" i="78"/>
  <c r="C66" i="78"/>
  <c r="D66" i="78"/>
  <c r="E66" i="78"/>
  <c r="C14" i="79"/>
  <c r="D14" i="79"/>
  <c r="E14" i="79"/>
  <c r="C20" i="79"/>
  <c r="D20" i="79"/>
  <c r="E20" i="79"/>
  <c r="E68" i="79" s="1"/>
  <c r="C26" i="79"/>
  <c r="D26" i="79"/>
  <c r="E26" i="79"/>
  <c r="C32" i="79"/>
  <c r="D32" i="79"/>
  <c r="E32" i="79"/>
  <c r="C38" i="79"/>
  <c r="D38" i="79"/>
  <c r="E38" i="79"/>
  <c r="C44" i="79"/>
  <c r="D44" i="79"/>
  <c r="E44" i="79"/>
  <c r="C54" i="79"/>
  <c r="D54" i="79"/>
  <c r="E54" i="79"/>
  <c r="C60" i="79"/>
  <c r="D60" i="79"/>
  <c r="E60" i="79"/>
  <c r="C66" i="79"/>
  <c r="D66" i="79"/>
  <c r="E66" i="79"/>
  <c r="C14" i="80"/>
  <c r="D14" i="80"/>
  <c r="E14" i="80"/>
  <c r="C20" i="80"/>
  <c r="D20" i="80"/>
  <c r="E20" i="80"/>
  <c r="C26" i="80"/>
  <c r="D26" i="80"/>
  <c r="E26" i="80"/>
  <c r="E68" i="80" s="1"/>
  <c r="C32" i="80"/>
  <c r="D32" i="80"/>
  <c r="E32" i="80"/>
  <c r="C38" i="80"/>
  <c r="D38" i="80"/>
  <c r="E38" i="80"/>
  <c r="C44" i="80"/>
  <c r="D44" i="80"/>
  <c r="E44" i="80"/>
  <c r="C54" i="80"/>
  <c r="D54" i="80"/>
  <c r="E54" i="80"/>
  <c r="C60" i="80"/>
  <c r="D60" i="80"/>
  <c r="E60" i="80"/>
  <c r="C66" i="80"/>
  <c r="D66" i="80"/>
  <c r="E66" i="80"/>
  <c r="E84" i="95"/>
  <c r="E84" i="93"/>
  <c r="D84" i="94"/>
  <c r="C84" i="93"/>
  <c r="D84" i="108"/>
  <c r="C80" i="84"/>
  <c r="E80" i="84"/>
  <c r="D80" i="87"/>
  <c r="E84" i="91"/>
  <c r="H56" i="88"/>
  <c r="E68" i="48"/>
  <c r="D84" i="110"/>
  <c r="H16" i="64"/>
  <c r="E68" i="61"/>
  <c r="D14" i="61"/>
  <c r="D68" i="61"/>
  <c r="C84" i="88"/>
  <c r="E68" i="62"/>
  <c r="E68" i="50"/>
  <c r="E68" i="66"/>
  <c r="E84" i="107"/>
  <c r="C84" i="109"/>
  <c r="D84" i="109"/>
  <c r="C84" i="111"/>
  <c r="E80" i="86"/>
  <c r="E84" i="94"/>
  <c r="C68" i="71"/>
  <c r="C84" i="94"/>
  <c r="D84" i="93"/>
  <c r="C84" i="110"/>
  <c r="C84" i="107"/>
  <c r="C84" i="118"/>
  <c r="D88" i="118"/>
  <c r="D84" i="120"/>
  <c r="E142" i="36" l="1"/>
  <c r="D126" i="36"/>
  <c r="B71" i="36"/>
  <c r="F167" i="36"/>
  <c r="B130" i="36"/>
  <c r="F116" i="45"/>
  <c r="I116" i="45" s="1"/>
  <c r="K116" i="45" s="1"/>
  <c r="F65" i="45"/>
  <c r="I65" i="45" s="1"/>
  <c r="K65" i="45" s="1"/>
  <c r="F53" i="45"/>
  <c r="I53" i="45" s="1"/>
  <c r="K53" i="45" s="1"/>
  <c r="F59" i="63"/>
  <c r="I59" i="63" s="1"/>
  <c r="K59" i="63" s="1"/>
  <c r="L14" i="63"/>
  <c r="F132" i="36"/>
  <c r="G132" i="36" s="1"/>
  <c r="I132" i="36" s="1"/>
  <c r="D146" i="36"/>
  <c r="F83" i="36"/>
  <c r="F32" i="63"/>
  <c r="I32" i="63" s="1"/>
  <c r="K32" i="63" s="1"/>
  <c r="F111" i="63"/>
  <c r="I111" i="63" s="1"/>
  <c r="K111" i="63" s="1"/>
  <c r="F133" i="36"/>
  <c r="G133" i="36" s="1"/>
  <c r="I133" i="36" s="1"/>
  <c r="B138" i="36"/>
  <c r="F105" i="63"/>
  <c r="I105" i="63" s="1"/>
  <c r="K105" i="63" s="1"/>
  <c r="F160" i="45"/>
  <c r="I160" i="45" s="1"/>
  <c r="K160" i="45" s="1"/>
  <c r="F51" i="45"/>
  <c r="I51" i="45" s="1"/>
  <c r="K51" i="45" s="1"/>
  <c r="F40" i="45"/>
  <c r="I40" i="45" s="1"/>
  <c r="K40" i="45" s="1"/>
  <c r="F49" i="36"/>
  <c r="F76" i="36"/>
  <c r="F67" i="36"/>
  <c r="F59" i="36"/>
  <c r="G50" i="67"/>
  <c r="F67" i="45"/>
  <c r="I67" i="45" s="1"/>
  <c r="K67" i="45" s="1"/>
  <c r="H57" i="45"/>
  <c r="F43" i="45"/>
  <c r="G43" i="45" s="1"/>
  <c r="F42" i="45"/>
  <c r="I42" i="45" s="1"/>
  <c r="K42" i="45" s="1"/>
  <c r="F38" i="45"/>
  <c r="I38" i="45" s="1"/>
  <c r="K38" i="45" s="1"/>
  <c r="F168" i="36"/>
  <c r="F141" i="36"/>
  <c r="G141" i="36" s="1"/>
  <c r="I141" i="36" s="1"/>
  <c r="E138" i="36"/>
  <c r="F123" i="36"/>
  <c r="G123" i="36" s="1"/>
  <c r="I123" i="36" s="1"/>
  <c r="D77" i="36"/>
  <c r="E74" i="36"/>
  <c r="E130" i="36"/>
  <c r="F33" i="36"/>
  <c r="F116" i="63"/>
  <c r="I116" i="63" s="1"/>
  <c r="K116" i="63" s="1"/>
  <c r="C20" i="63"/>
  <c r="C21" i="63" s="1"/>
  <c r="C34" i="63" s="1"/>
  <c r="C47" i="63" s="1"/>
  <c r="C60" i="63" s="1"/>
  <c r="C73" i="63" s="1"/>
  <c r="C86" i="63" s="1"/>
  <c r="C99" i="63" s="1"/>
  <c r="C112" i="63" s="1"/>
  <c r="C125" i="63" s="1"/>
  <c r="C140" i="63" s="1"/>
  <c r="C155" i="63" s="1"/>
  <c r="C169" i="63" s="1"/>
  <c r="C122" i="36"/>
  <c r="F86" i="36"/>
  <c r="F75" i="36"/>
  <c r="H34" i="63"/>
  <c r="F49" i="45"/>
  <c r="I49" i="45" s="1"/>
  <c r="K49" i="45" s="1"/>
  <c r="F41" i="45"/>
  <c r="I41" i="45" s="1"/>
  <c r="K41" i="45" s="1"/>
  <c r="H19" i="45"/>
  <c r="F143" i="36"/>
  <c r="G143" i="36" s="1"/>
  <c r="I143" i="36" s="1"/>
  <c r="F139" i="36"/>
  <c r="G139" i="36" s="1"/>
  <c r="I139" i="36" s="1"/>
  <c r="F121" i="36"/>
  <c r="G121" i="36" s="1"/>
  <c r="I121" i="36" s="1"/>
  <c r="C134" i="36"/>
  <c r="B122" i="36"/>
  <c r="B77" i="36"/>
  <c r="C74" i="36"/>
  <c r="D71" i="36"/>
  <c r="F48" i="36"/>
  <c r="F16" i="36"/>
  <c r="G16" i="36" s="1"/>
  <c r="I16" i="36" s="1"/>
  <c r="C146" i="36"/>
  <c r="G11" i="67"/>
  <c r="F118" i="45"/>
  <c r="I118" i="45" s="1"/>
  <c r="K118" i="45" s="1"/>
  <c r="F114" i="45"/>
  <c r="I114" i="45" s="1"/>
  <c r="K114" i="45" s="1"/>
  <c r="F11" i="36"/>
  <c r="G11" i="36" s="1"/>
  <c r="I11" i="36" s="1"/>
  <c r="F158" i="45"/>
  <c r="I158" i="45" s="1"/>
  <c r="K158" i="45" s="1"/>
  <c r="F149" i="45"/>
  <c r="I149" i="45" s="1"/>
  <c r="K149" i="45" s="1"/>
  <c r="F121" i="45"/>
  <c r="I121" i="45" s="1"/>
  <c r="K121" i="45" s="1"/>
  <c r="F37" i="45"/>
  <c r="I37" i="45" s="1"/>
  <c r="F164" i="63"/>
  <c r="I164" i="63" s="1"/>
  <c r="K164" i="63" s="1"/>
  <c r="F132" i="63"/>
  <c r="I132" i="63" s="1"/>
  <c r="K132" i="63" s="1"/>
  <c r="F108" i="63"/>
  <c r="I108" i="63" s="1"/>
  <c r="K108" i="63" s="1"/>
  <c r="F68" i="63"/>
  <c r="I68" i="63" s="1"/>
  <c r="K68" i="63" s="1"/>
  <c r="F40" i="63"/>
  <c r="I40" i="63" s="1"/>
  <c r="K40" i="63" s="1"/>
  <c r="F31" i="63"/>
  <c r="I31" i="63" s="1"/>
  <c r="K31" i="63" s="1"/>
  <c r="G29" i="67"/>
  <c r="F92" i="45"/>
  <c r="I92" i="45" s="1"/>
  <c r="K92" i="45" s="1"/>
  <c r="F39" i="36"/>
  <c r="F15" i="36"/>
  <c r="G15" i="36" s="1"/>
  <c r="I15" i="36" s="1"/>
  <c r="F137" i="63"/>
  <c r="G137" i="63" s="1"/>
  <c r="F121" i="63"/>
  <c r="I121" i="63" s="1"/>
  <c r="K121" i="63" s="1"/>
  <c r="F117" i="63"/>
  <c r="I117" i="63" s="1"/>
  <c r="K117" i="63" s="1"/>
  <c r="G35" i="67"/>
  <c r="E21" i="67"/>
  <c r="F164" i="45"/>
  <c r="I164" i="45" s="1"/>
  <c r="K164" i="45" s="1"/>
  <c r="F119" i="36"/>
  <c r="G119" i="36" s="1"/>
  <c r="I119" i="36" s="1"/>
  <c r="C138" i="36"/>
  <c r="F87" i="36"/>
  <c r="F65" i="36"/>
  <c r="F64" i="63"/>
  <c r="I64" i="63" s="1"/>
  <c r="K64" i="63" s="1"/>
  <c r="G44" i="112"/>
  <c r="J70" i="45"/>
  <c r="G26" i="67"/>
  <c r="F107" i="45"/>
  <c r="I107" i="45" s="1"/>
  <c r="K107" i="45" s="1"/>
  <c r="F109" i="63"/>
  <c r="I109" i="63" s="1"/>
  <c r="K109" i="63" s="1"/>
  <c r="F157" i="36"/>
  <c r="F29" i="63"/>
  <c r="I29" i="63" s="1"/>
  <c r="K29" i="63" s="1"/>
  <c r="B134" i="36"/>
  <c r="B126" i="36"/>
  <c r="F96" i="36"/>
  <c r="F106" i="63"/>
  <c r="I106" i="63" s="1"/>
  <c r="K106" i="63" s="1"/>
  <c r="F69" i="63"/>
  <c r="I69" i="63" s="1"/>
  <c r="K69" i="63" s="1"/>
  <c r="F58" i="63"/>
  <c r="I58" i="63" s="1"/>
  <c r="K58" i="63" s="1"/>
  <c r="F84" i="36"/>
  <c r="F165" i="63"/>
  <c r="I165" i="63" s="1"/>
  <c r="K165" i="63" s="1"/>
  <c r="B62" i="67"/>
  <c r="F100" i="45"/>
  <c r="I100" i="45" s="1"/>
  <c r="K100" i="45" s="1"/>
  <c r="F36" i="45"/>
  <c r="I36" i="45" s="1"/>
  <c r="K36" i="45" s="1"/>
  <c r="F28" i="45"/>
  <c r="I28" i="45" s="1"/>
  <c r="K28" i="45" s="1"/>
  <c r="D130" i="36"/>
  <c r="F133" i="45"/>
  <c r="G133" i="45" s="1"/>
  <c r="F55" i="45"/>
  <c r="I55" i="45" s="1"/>
  <c r="K55" i="45" s="1"/>
  <c r="F93" i="36"/>
  <c r="B21" i="67"/>
  <c r="F159" i="45"/>
  <c r="I159" i="45" s="1"/>
  <c r="H109" i="45"/>
  <c r="K95" i="45"/>
  <c r="H31" i="45"/>
  <c r="F26" i="45"/>
  <c r="I26" i="45" s="1"/>
  <c r="K26" i="45" s="1"/>
  <c r="F34" i="36"/>
  <c r="F7" i="36"/>
  <c r="F45" i="63"/>
  <c r="I45" i="63" s="1"/>
  <c r="K45" i="63" s="1"/>
  <c r="F28" i="63"/>
  <c r="I28" i="63" s="1"/>
  <c r="F19" i="63"/>
  <c r="B20" i="63"/>
  <c r="B21" i="63" s="1"/>
  <c r="C77" i="36"/>
  <c r="G9" i="67"/>
  <c r="H166" i="45"/>
  <c r="F128" i="45"/>
  <c r="G128" i="45" s="1"/>
  <c r="F66" i="45"/>
  <c r="F62" i="45"/>
  <c r="I62" i="45" s="1"/>
  <c r="K62" i="45" s="1"/>
  <c r="J44" i="45"/>
  <c r="C126" i="36"/>
  <c r="D142" i="36"/>
  <c r="F68" i="36"/>
  <c r="F60" i="36"/>
  <c r="F36" i="36"/>
  <c r="F25" i="36"/>
  <c r="F17" i="36"/>
  <c r="G17" i="36" s="1"/>
  <c r="I17" i="36" s="1"/>
  <c r="F98" i="63"/>
  <c r="I98" i="63" s="1"/>
  <c r="K98" i="63" s="1"/>
  <c r="F91" i="63"/>
  <c r="I91" i="63" s="1"/>
  <c r="K91" i="63" s="1"/>
  <c r="F52" i="63"/>
  <c r="I52" i="63" s="1"/>
  <c r="K52" i="63" s="1"/>
  <c r="H44" i="45"/>
  <c r="G7" i="67"/>
  <c r="F18" i="45"/>
  <c r="I18" i="45" s="1"/>
  <c r="K18" i="45" s="1"/>
  <c r="F173" i="36"/>
  <c r="F61" i="36"/>
  <c r="F151" i="63"/>
  <c r="I151" i="63" s="1"/>
  <c r="K151" i="63" s="1"/>
  <c r="F147" i="63"/>
  <c r="I147" i="63" s="1"/>
  <c r="K147" i="63" s="1"/>
  <c r="F103" i="63"/>
  <c r="I103" i="63" s="1"/>
  <c r="K103" i="63" s="1"/>
  <c r="F81" i="63"/>
  <c r="I81" i="63" s="1"/>
  <c r="K81" i="63" s="1"/>
  <c r="H73" i="63"/>
  <c r="F12" i="63"/>
  <c r="I12" i="63" s="1"/>
  <c r="K12" i="63" s="1"/>
  <c r="K14" i="63"/>
  <c r="G42" i="67"/>
  <c r="F68" i="45"/>
  <c r="I68" i="45" s="1"/>
  <c r="K68" i="45" s="1"/>
  <c r="F39" i="45"/>
  <c r="I39" i="45" s="1"/>
  <c r="K39" i="45" s="1"/>
  <c r="F166" i="63"/>
  <c r="I166" i="63" s="1"/>
  <c r="K166" i="63" s="1"/>
  <c r="F134" i="63"/>
  <c r="I134" i="63" s="1"/>
  <c r="K134" i="63" s="1"/>
  <c r="F104" i="63"/>
  <c r="I104" i="63" s="1"/>
  <c r="K104" i="63" s="1"/>
  <c r="F16" i="63"/>
  <c r="G16" i="63" s="1"/>
  <c r="L16" i="63" s="1"/>
  <c r="J21" i="63"/>
  <c r="D62" i="67"/>
  <c r="G56" i="67"/>
  <c r="G39" i="67"/>
  <c r="F130" i="45"/>
  <c r="G130" i="45" s="1"/>
  <c r="F82" i="45"/>
  <c r="I82" i="45" s="1"/>
  <c r="K82" i="45" s="1"/>
  <c r="F74" i="45"/>
  <c r="I74" i="45" s="1"/>
  <c r="K74" i="45" s="1"/>
  <c r="F23" i="45"/>
  <c r="I23" i="45" s="1"/>
  <c r="K23" i="45" s="1"/>
  <c r="F15" i="45"/>
  <c r="I15" i="45" s="1"/>
  <c r="K15" i="45" s="1"/>
  <c r="D19" i="45"/>
  <c r="F174" i="36"/>
  <c r="F172" i="36"/>
  <c r="H175" i="36"/>
  <c r="F160" i="36"/>
  <c r="B146" i="36"/>
  <c r="F88" i="36"/>
  <c r="F85" i="36"/>
  <c r="F73" i="36"/>
  <c r="K154" i="63"/>
  <c r="F152" i="63"/>
  <c r="I152" i="63" s="1"/>
  <c r="K152" i="63" s="1"/>
  <c r="F148" i="63"/>
  <c r="I148" i="63" s="1"/>
  <c r="K148" i="63" s="1"/>
  <c r="F131" i="63"/>
  <c r="I131" i="63" s="1"/>
  <c r="K131" i="63" s="1"/>
  <c r="F93" i="63"/>
  <c r="I93" i="63" s="1"/>
  <c r="K93" i="63" s="1"/>
  <c r="F72" i="63"/>
  <c r="I72" i="63" s="1"/>
  <c r="K72" i="63" s="1"/>
  <c r="F67" i="63"/>
  <c r="I67" i="63" s="1"/>
  <c r="F46" i="63"/>
  <c r="G46" i="63" s="1"/>
  <c r="L46" i="63" s="1"/>
  <c r="F42" i="63"/>
  <c r="I42" i="63" s="1"/>
  <c r="K42" i="63" s="1"/>
  <c r="F39" i="63"/>
  <c r="I39" i="63" s="1"/>
  <c r="K39" i="63" s="1"/>
  <c r="H112" i="63"/>
  <c r="F110" i="63"/>
  <c r="I110" i="63" s="1"/>
  <c r="K110" i="63" s="1"/>
  <c r="F95" i="63"/>
  <c r="I95" i="63" s="1"/>
  <c r="K95" i="63" s="1"/>
  <c r="F78" i="63"/>
  <c r="I78" i="63" s="1"/>
  <c r="K78" i="63" s="1"/>
  <c r="F144" i="36"/>
  <c r="G45" i="67"/>
  <c r="F76" i="45"/>
  <c r="I76" i="45" s="1"/>
  <c r="K76" i="45" s="1"/>
  <c r="F154" i="36"/>
  <c r="F104" i="36"/>
  <c r="D74" i="36"/>
  <c r="F138" i="63"/>
  <c r="I138" i="63" s="1"/>
  <c r="K138" i="63" s="1"/>
  <c r="H140" i="63"/>
  <c r="J125" i="63"/>
  <c r="F70" i="63"/>
  <c r="I70" i="63" s="1"/>
  <c r="K70" i="63" s="1"/>
  <c r="F25" i="63"/>
  <c r="I25" i="63" s="1"/>
  <c r="K25" i="63" s="1"/>
  <c r="F108" i="36"/>
  <c r="G48" i="67"/>
  <c r="G44" i="67"/>
  <c r="H38" i="47"/>
  <c r="F161" i="45"/>
  <c r="I161" i="45" s="1"/>
  <c r="K161" i="45" s="1"/>
  <c r="F148" i="45"/>
  <c r="I148" i="45" s="1"/>
  <c r="K148" i="45" s="1"/>
  <c r="F134" i="45"/>
  <c r="G134" i="45" s="1"/>
  <c r="F131" i="45"/>
  <c r="G131" i="45" s="1"/>
  <c r="F77" i="45"/>
  <c r="I77" i="45" s="1"/>
  <c r="K77" i="45" s="1"/>
  <c r="F24" i="45"/>
  <c r="I24" i="45" s="1"/>
  <c r="K24" i="45" s="1"/>
  <c r="F155" i="36"/>
  <c r="B142" i="36"/>
  <c r="E77" i="36"/>
  <c r="F38" i="36"/>
  <c r="C18" i="36"/>
  <c r="C29" i="36" s="1"/>
  <c r="C40" i="36" s="1"/>
  <c r="C51" i="36" s="1"/>
  <c r="C62" i="36" s="1"/>
  <c r="F168" i="63"/>
  <c r="I168" i="63" s="1"/>
  <c r="K168" i="63" s="1"/>
  <c r="J155" i="63"/>
  <c r="F135" i="63"/>
  <c r="I135" i="63" s="1"/>
  <c r="K135" i="63" s="1"/>
  <c r="F82" i="63"/>
  <c r="I82" i="63" s="1"/>
  <c r="K82" i="63" s="1"/>
  <c r="F26" i="63"/>
  <c r="I26" i="63" s="1"/>
  <c r="K26" i="63" s="1"/>
  <c r="G30" i="67"/>
  <c r="F88" i="45"/>
  <c r="I88" i="45" s="1"/>
  <c r="K88" i="45" s="1"/>
  <c r="J57" i="45"/>
  <c r="F161" i="63"/>
  <c r="I161" i="63" s="1"/>
  <c r="K161" i="63" s="1"/>
  <c r="J112" i="63"/>
  <c r="F53" i="63"/>
  <c r="I53" i="63" s="1"/>
  <c r="K53" i="63" s="1"/>
  <c r="G33" i="67"/>
  <c r="C53" i="67"/>
  <c r="F120" i="45"/>
  <c r="I120" i="45" s="1"/>
  <c r="K120" i="45" s="1"/>
  <c r="H83" i="45"/>
  <c r="F118" i="36"/>
  <c r="G118" i="36" s="1"/>
  <c r="I118" i="36" s="1"/>
  <c r="F98" i="36"/>
  <c r="F162" i="63"/>
  <c r="I162" i="63" s="1"/>
  <c r="K162" i="63" s="1"/>
  <c r="F107" i="63"/>
  <c r="I107" i="63" s="1"/>
  <c r="K107" i="63" s="1"/>
  <c r="F85" i="63"/>
  <c r="I85" i="63" s="1"/>
  <c r="K85" i="63" s="1"/>
  <c r="F38" i="63"/>
  <c r="I38" i="63" s="1"/>
  <c r="K38" i="63" s="1"/>
  <c r="D20" i="63"/>
  <c r="D21" i="63" s="1"/>
  <c r="D34" i="63" s="1"/>
  <c r="D47" i="63" s="1"/>
  <c r="D60" i="63" s="1"/>
  <c r="D73" i="63" s="1"/>
  <c r="D86" i="63" s="1"/>
  <c r="D99" i="63" s="1"/>
  <c r="D112" i="63" s="1"/>
  <c r="D125" i="63" s="1"/>
  <c r="D140" i="63" s="1"/>
  <c r="D155" i="63" s="1"/>
  <c r="D169" i="63" s="1"/>
  <c r="G60" i="67"/>
  <c r="F145" i="45"/>
  <c r="I145" i="45" s="1"/>
  <c r="K145" i="45" s="1"/>
  <c r="J109" i="45"/>
  <c r="F94" i="45"/>
  <c r="I94" i="45" s="1"/>
  <c r="K94" i="45" s="1"/>
  <c r="F46" i="36"/>
  <c r="H169" i="63"/>
  <c r="F153" i="63"/>
  <c r="I153" i="63" s="1"/>
  <c r="K153" i="63" s="1"/>
  <c r="F149" i="63"/>
  <c r="I149" i="63" s="1"/>
  <c r="K149" i="63" s="1"/>
  <c r="J99" i="63"/>
  <c r="F80" i="63"/>
  <c r="I80" i="63" s="1"/>
  <c r="K80" i="63" s="1"/>
  <c r="F43" i="63"/>
  <c r="I43" i="63" s="1"/>
  <c r="K43" i="63" s="1"/>
  <c r="F30" i="63"/>
  <c r="I30" i="63" s="1"/>
  <c r="K30" i="63" s="1"/>
  <c r="F18" i="63"/>
  <c r="I18" i="63" s="1"/>
  <c r="K18" i="63" s="1"/>
  <c r="C142" i="36"/>
  <c r="C130" i="36"/>
  <c r="F128" i="36"/>
  <c r="G128" i="36" s="1"/>
  <c r="I128" i="36" s="1"/>
  <c r="H21" i="63"/>
  <c r="C21" i="67"/>
  <c r="F135" i="45"/>
  <c r="J122" i="45"/>
  <c r="F93" i="45"/>
  <c r="I93" i="45" s="1"/>
  <c r="K93" i="45" s="1"/>
  <c r="J86" i="63"/>
  <c r="F7" i="63"/>
  <c r="F129" i="45"/>
  <c r="F105" i="45"/>
  <c r="I105" i="45" s="1"/>
  <c r="K105" i="45" s="1"/>
  <c r="H70" i="45"/>
  <c r="F171" i="36"/>
  <c r="F135" i="36"/>
  <c r="G135" i="36" s="1"/>
  <c r="I135" i="36" s="1"/>
  <c r="F99" i="36"/>
  <c r="H155" i="63"/>
  <c r="F51" i="63"/>
  <c r="I51" i="63" s="1"/>
  <c r="K51" i="63" s="1"/>
  <c r="J152" i="45"/>
  <c r="H137" i="45"/>
  <c r="F113" i="45"/>
  <c r="I113" i="45" s="1"/>
  <c r="K113" i="45" s="1"/>
  <c r="F64" i="45"/>
  <c r="I64" i="45" s="1"/>
  <c r="K64" i="45" s="1"/>
  <c r="F16" i="45"/>
  <c r="G16" i="45" s="1"/>
  <c r="F97" i="63"/>
  <c r="I97" i="63" s="1"/>
  <c r="K97" i="63" s="1"/>
  <c r="F94" i="63"/>
  <c r="I94" i="63" s="1"/>
  <c r="K94" i="63" s="1"/>
  <c r="F66" i="63"/>
  <c r="I66" i="63" s="1"/>
  <c r="K66" i="63" s="1"/>
  <c r="E20" i="63"/>
  <c r="E21" i="63" s="1"/>
  <c r="E34" i="63" s="1"/>
  <c r="E47" i="63" s="1"/>
  <c r="E60" i="63" s="1"/>
  <c r="E73" i="63" s="1"/>
  <c r="E86" i="63" s="1"/>
  <c r="E99" i="63" s="1"/>
  <c r="E112" i="63" s="1"/>
  <c r="E125" i="63" s="1"/>
  <c r="E140" i="63" s="1"/>
  <c r="E155" i="63" s="1"/>
  <c r="E169" i="63" s="1"/>
  <c r="F17" i="63"/>
  <c r="I17" i="63" s="1"/>
  <c r="K17" i="63" s="1"/>
  <c r="H44" i="112"/>
  <c r="G46" i="67"/>
  <c r="G28" i="67"/>
  <c r="F45" i="36"/>
  <c r="F79" i="63"/>
  <c r="I79" i="63" s="1"/>
  <c r="K79" i="63" s="1"/>
  <c r="F110" i="36"/>
  <c r="G74" i="67"/>
  <c r="G51" i="67"/>
  <c r="G36" i="67"/>
  <c r="F150" i="45"/>
  <c r="I150" i="45" s="1"/>
  <c r="K150" i="45" s="1"/>
  <c r="F106" i="45"/>
  <c r="I106" i="45" s="1"/>
  <c r="K106" i="45" s="1"/>
  <c r="F56" i="45"/>
  <c r="I56" i="45" s="1"/>
  <c r="K56" i="45" s="1"/>
  <c r="F52" i="45"/>
  <c r="I52" i="45" s="1"/>
  <c r="K52" i="45" s="1"/>
  <c r="F30" i="45"/>
  <c r="I30" i="45" s="1"/>
  <c r="K30" i="45" s="1"/>
  <c r="G44" i="111"/>
  <c r="G45" i="111" s="1"/>
  <c r="F111" i="36"/>
  <c r="G37" i="67"/>
  <c r="G13" i="67"/>
  <c r="H44" i="47"/>
  <c r="F132" i="45"/>
  <c r="G132" i="45" s="1"/>
  <c r="F102" i="45"/>
  <c r="I102" i="45" s="1"/>
  <c r="K102" i="45" s="1"/>
  <c r="F35" i="45"/>
  <c r="I35" i="45" s="1"/>
  <c r="K35" i="45" s="1"/>
  <c r="F25" i="45"/>
  <c r="I25" i="45" s="1"/>
  <c r="K25" i="45" s="1"/>
  <c r="F14" i="45"/>
  <c r="G14" i="45" s="1"/>
  <c r="F13" i="45"/>
  <c r="F158" i="36"/>
  <c r="F156" i="36"/>
  <c r="F100" i="36"/>
  <c r="F133" i="63"/>
  <c r="F118" i="63"/>
  <c r="I118" i="63" s="1"/>
  <c r="K118" i="63" s="1"/>
  <c r="G31" i="67"/>
  <c r="F162" i="45"/>
  <c r="I162" i="45" s="1"/>
  <c r="K162" i="45" s="1"/>
  <c r="F131" i="36"/>
  <c r="G131" i="36" s="1"/>
  <c r="F66" i="36"/>
  <c r="F47" i="36"/>
  <c r="F10" i="36"/>
  <c r="F163" i="63"/>
  <c r="I163" i="63" s="1"/>
  <c r="K163" i="63" s="1"/>
  <c r="F83" i="63"/>
  <c r="I83" i="63" s="1"/>
  <c r="K83" i="63" s="1"/>
  <c r="G10" i="67"/>
  <c r="J166" i="45"/>
  <c r="H122" i="45"/>
  <c r="F101" i="45"/>
  <c r="I101" i="45" s="1"/>
  <c r="K101" i="45" s="1"/>
  <c r="F61" i="45"/>
  <c r="I61" i="45" s="1"/>
  <c r="K61" i="45" s="1"/>
  <c r="F50" i="36"/>
  <c r="F55" i="63"/>
  <c r="I55" i="63" s="1"/>
  <c r="K55" i="63" s="1"/>
  <c r="H47" i="63"/>
  <c r="G38" i="67"/>
  <c r="F21" i="67"/>
  <c r="K151" i="45"/>
  <c r="F136" i="45"/>
  <c r="F108" i="45"/>
  <c r="I108" i="45" s="1"/>
  <c r="F103" i="45"/>
  <c r="I103" i="45" s="1"/>
  <c r="K103" i="45" s="1"/>
  <c r="F87" i="45"/>
  <c r="I87" i="45" s="1"/>
  <c r="K87" i="45" s="1"/>
  <c r="F54" i="45"/>
  <c r="I54" i="45" s="1"/>
  <c r="K54" i="45" s="1"/>
  <c r="F159" i="36"/>
  <c r="D134" i="36"/>
  <c r="F95" i="36"/>
  <c r="F43" i="36"/>
  <c r="F37" i="36"/>
  <c r="F35" i="36"/>
  <c r="F32" i="36"/>
  <c r="F26" i="36"/>
  <c r="F150" i="63"/>
  <c r="F136" i="63"/>
  <c r="F122" i="63"/>
  <c r="I122" i="63" s="1"/>
  <c r="K122" i="63" s="1"/>
  <c r="F92" i="63"/>
  <c r="I92" i="63" s="1"/>
  <c r="K92" i="63" s="1"/>
  <c r="F84" i="63"/>
  <c r="I84" i="63" s="1"/>
  <c r="K84" i="63" s="1"/>
  <c r="H86" i="63"/>
  <c r="F77" i="63"/>
  <c r="I77" i="63" s="1"/>
  <c r="K77" i="63" s="1"/>
  <c r="F56" i="63"/>
  <c r="I56" i="63" s="1"/>
  <c r="K56" i="63" s="1"/>
  <c r="H60" i="63"/>
  <c r="F11" i="63"/>
  <c r="G34" i="67"/>
  <c r="F115" i="45"/>
  <c r="I115" i="45" s="1"/>
  <c r="K115" i="45" s="1"/>
  <c r="F28" i="36"/>
  <c r="F44" i="63"/>
  <c r="I44" i="63" s="1"/>
  <c r="K44" i="63" s="1"/>
  <c r="G2" i="67"/>
  <c r="G49" i="67"/>
  <c r="F163" i="45"/>
  <c r="F78" i="45"/>
  <c r="I78" i="45" s="1"/>
  <c r="K78" i="45" s="1"/>
  <c r="F137" i="36"/>
  <c r="G137" i="36" s="1"/>
  <c r="I137" i="36" s="1"/>
  <c r="F94" i="36"/>
  <c r="L154" i="63"/>
  <c r="F27" i="63"/>
  <c r="I27" i="63" s="1"/>
  <c r="K27" i="63" s="1"/>
  <c r="B18" i="36"/>
  <c r="B29" i="36" s="1"/>
  <c r="B40" i="36" s="1"/>
  <c r="F107" i="36"/>
  <c r="G14" i="67"/>
  <c r="F147" i="45"/>
  <c r="I147" i="45" s="1"/>
  <c r="K147" i="45" s="1"/>
  <c r="F63" i="45"/>
  <c r="I63" i="45" s="1"/>
  <c r="K63" i="45" s="1"/>
  <c r="F27" i="45"/>
  <c r="I27" i="45" s="1"/>
  <c r="K27" i="45" s="1"/>
  <c r="F170" i="36"/>
  <c r="F129" i="36"/>
  <c r="G129" i="36" s="1"/>
  <c r="I129" i="36" s="1"/>
  <c r="F54" i="36"/>
  <c r="F44" i="36"/>
  <c r="F27" i="36"/>
  <c r="E18" i="36"/>
  <c r="E29" i="36" s="1"/>
  <c r="E40" i="36" s="1"/>
  <c r="E51" i="36" s="1"/>
  <c r="E62" i="36" s="1"/>
  <c r="F123" i="63"/>
  <c r="I123" i="63" s="1"/>
  <c r="K123" i="63" s="1"/>
  <c r="F57" i="63"/>
  <c r="I57" i="63" s="1"/>
  <c r="K57" i="63" s="1"/>
  <c r="H44" i="111"/>
  <c r="H45" i="111" s="1"/>
  <c r="F145" i="36"/>
  <c r="E146" i="36"/>
  <c r="D136" i="36"/>
  <c r="F109" i="36"/>
  <c r="E120" i="36"/>
  <c r="E122" i="36" s="1"/>
  <c r="F105" i="36"/>
  <c r="D68" i="55"/>
  <c r="J96" i="45"/>
  <c r="J83" i="45"/>
  <c r="F11" i="45"/>
  <c r="C19" i="45"/>
  <c r="D84" i="115"/>
  <c r="E71" i="36"/>
  <c r="F70" i="36"/>
  <c r="C68" i="69"/>
  <c r="E53" i="67"/>
  <c r="F24" i="36"/>
  <c r="E68" i="55"/>
  <c r="E124" i="36"/>
  <c r="F124" i="36" s="1"/>
  <c r="G124" i="36" s="1"/>
  <c r="I124" i="36" s="1"/>
  <c r="F106" i="36"/>
  <c r="D122" i="36"/>
  <c r="C68" i="78"/>
  <c r="C68" i="72"/>
  <c r="B53" i="67"/>
  <c r="G25" i="67"/>
  <c r="C68" i="46"/>
  <c r="D84" i="116"/>
  <c r="C89" i="116" s="1"/>
  <c r="C82" i="121"/>
  <c r="F69" i="45"/>
  <c r="I69" i="45" s="1"/>
  <c r="K69" i="45" s="1"/>
  <c r="F57" i="36"/>
  <c r="D68" i="80"/>
  <c r="D68" i="79"/>
  <c r="D53" i="67"/>
  <c r="C68" i="80"/>
  <c r="G57" i="67"/>
  <c r="C62" i="67"/>
  <c r="B74" i="36"/>
  <c r="F72" i="36"/>
  <c r="C71" i="36"/>
  <c r="F69" i="36"/>
  <c r="D68" i="78"/>
  <c r="E68" i="75"/>
  <c r="D68" i="69"/>
  <c r="G41" i="67"/>
  <c r="G40" i="67"/>
  <c r="E68" i="51"/>
  <c r="H32" i="47"/>
  <c r="D68" i="47"/>
  <c r="H68" i="47" s="1"/>
  <c r="H96" i="45"/>
  <c r="K66" i="45"/>
  <c r="J31" i="45"/>
  <c r="F23" i="36"/>
  <c r="F62" i="67"/>
  <c r="F53" i="67"/>
  <c r="G27" i="67"/>
  <c r="G8" i="67"/>
  <c r="E62" i="67"/>
  <c r="J137" i="45"/>
  <c r="F29" i="45"/>
  <c r="I29" i="45" s="1"/>
  <c r="K29" i="45" s="1"/>
  <c r="C68" i="79"/>
  <c r="C68" i="74"/>
  <c r="G58" i="67"/>
  <c r="C68" i="43"/>
  <c r="F21" i="36"/>
  <c r="C84" i="120"/>
  <c r="E68" i="69"/>
  <c r="G47" i="67"/>
  <c r="G32" i="67"/>
  <c r="C68" i="62"/>
  <c r="D68" i="56"/>
  <c r="D68" i="54"/>
  <c r="D68" i="53"/>
  <c r="C68" i="51"/>
  <c r="D68" i="43"/>
  <c r="F119" i="45"/>
  <c r="I119" i="45" s="1"/>
  <c r="K119" i="45" s="1"/>
  <c r="F80" i="45"/>
  <c r="I80" i="45" s="1"/>
  <c r="K80" i="45" s="1"/>
  <c r="F153" i="36"/>
  <c r="F89" i="36"/>
  <c r="F78" i="36"/>
  <c r="F12" i="36"/>
  <c r="H125" i="63"/>
  <c r="F41" i="63"/>
  <c r="C84" i="122"/>
  <c r="F140" i="36"/>
  <c r="G140" i="36" s="1"/>
  <c r="I140" i="36" s="1"/>
  <c r="D68" i="66"/>
  <c r="H15" i="64"/>
  <c r="D68" i="64"/>
  <c r="F144" i="45"/>
  <c r="F12" i="45"/>
  <c r="B19" i="45"/>
  <c r="B31" i="45" s="1"/>
  <c r="B44" i="45" s="1"/>
  <c r="B57" i="45" s="1"/>
  <c r="B70" i="45" s="1"/>
  <c r="B83" i="45" s="1"/>
  <c r="B96" i="45" s="1"/>
  <c r="B109" i="45" s="1"/>
  <c r="B122" i="45" s="1"/>
  <c r="B137" i="45" s="1"/>
  <c r="B152" i="45" s="1"/>
  <c r="B166" i="45" s="1"/>
  <c r="F7" i="45"/>
  <c r="E84" i="110"/>
  <c r="E68" i="78"/>
  <c r="C68" i="64"/>
  <c r="D68" i="59"/>
  <c r="E68" i="54"/>
  <c r="D68" i="51"/>
  <c r="C68" i="50"/>
  <c r="F48" i="45"/>
  <c r="I48" i="45" s="1"/>
  <c r="F17" i="45"/>
  <c r="J19" i="45"/>
  <c r="E134" i="36"/>
  <c r="E84" i="90"/>
  <c r="D84" i="122"/>
  <c r="D84" i="124"/>
  <c r="G52" i="67"/>
  <c r="G12" i="67"/>
  <c r="D21" i="67"/>
  <c r="H32" i="62"/>
  <c r="D68" i="62"/>
  <c r="H68" i="62" s="1"/>
  <c r="E68" i="46"/>
  <c r="H152" i="45"/>
  <c r="F15" i="63"/>
  <c r="C84" i="90"/>
  <c r="C68" i="59"/>
  <c r="E68" i="44"/>
  <c r="F143" i="45"/>
  <c r="F75" i="45"/>
  <c r="I75" i="45" s="1"/>
  <c r="F127" i="36"/>
  <c r="G127" i="36" s="1"/>
  <c r="F97" i="36"/>
  <c r="F56" i="36"/>
  <c r="F22" i="36"/>
  <c r="F71" i="63"/>
  <c r="D80" i="84"/>
  <c r="C80" i="86"/>
  <c r="D84" i="90"/>
  <c r="E68" i="47"/>
  <c r="E68" i="43"/>
  <c r="F165" i="45"/>
  <c r="F104" i="45"/>
  <c r="I104" i="45" s="1"/>
  <c r="K104" i="45" s="1"/>
  <c r="F89" i="45"/>
  <c r="I89" i="45" s="1"/>
  <c r="F79" i="45"/>
  <c r="I79" i="45" s="1"/>
  <c r="K79" i="45" s="1"/>
  <c r="F50" i="45"/>
  <c r="I50" i="45" s="1"/>
  <c r="K50" i="45" s="1"/>
  <c r="F169" i="36"/>
  <c r="F58" i="36"/>
  <c r="F14" i="36"/>
  <c r="C84" i="108"/>
  <c r="F90" i="45"/>
  <c r="I90" i="45" s="1"/>
  <c r="K90" i="45" s="1"/>
  <c r="F125" i="36"/>
  <c r="G125" i="36" s="1"/>
  <c r="I125" i="36" s="1"/>
  <c r="F82" i="36"/>
  <c r="F55" i="36"/>
  <c r="D68" i="44"/>
  <c r="F146" i="45"/>
  <c r="F117" i="45"/>
  <c r="I117" i="45" s="1"/>
  <c r="K117" i="45" s="1"/>
  <c r="F91" i="45"/>
  <c r="I91" i="45" s="1"/>
  <c r="K91" i="45" s="1"/>
  <c r="F81" i="45"/>
  <c r="I81" i="45" s="1"/>
  <c r="K81" i="45" s="1"/>
  <c r="H99" i="63"/>
  <c r="C84" i="89"/>
  <c r="D84" i="91"/>
  <c r="C84" i="116"/>
  <c r="D89" i="116" s="1"/>
  <c r="D18" i="36"/>
  <c r="D29" i="36" s="1"/>
  <c r="D40" i="36" s="1"/>
  <c r="D51" i="36" s="1"/>
  <c r="D62" i="36" s="1"/>
  <c r="K139" i="63"/>
  <c r="C84" i="119"/>
  <c r="J140" i="63"/>
  <c r="F90" i="63"/>
  <c r="I90" i="63" s="1"/>
  <c r="K90" i="63" s="1"/>
  <c r="D84" i="127"/>
  <c r="F167" i="63"/>
  <c r="I167" i="63" s="1"/>
  <c r="K167" i="63" s="1"/>
  <c r="F96" i="63"/>
  <c r="I96" i="63" s="1"/>
  <c r="K96" i="63" s="1"/>
  <c r="F13" i="63"/>
  <c r="J169" i="63"/>
  <c r="F146" i="63"/>
  <c r="F120" i="63"/>
  <c r="I120" i="63" s="1"/>
  <c r="K120" i="63" s="1"/>
  <c r="F65" i="63"/>
  <c r="D84" i="118"/>
  <c r="C88" i="118" s="1"/>
  <c r="C84" i="123"/>
  <c r="C84" i="124"/>
  <c r="C84" i="115"/>
  <c r="E19" i="45"/>
  <c r="G155" i="36" l="1"/>
  <c r="I155" i="36" s="1"/>
  <c r="F164" i="36"/>
  <c r="G28" i="63"/>
  <c r="L28" i="63" s="1"/>
  <c r="I133" i="45"/>
  <c r="K133" i="45" s="1"/>
  <c r="F77" i="36"/>
  <c r="G131" i="63"/>
  <c r="L131" i="63" s="1"/>
  <c r="G149" i="45"/>
  <c r="G164" i="45" s="1"/>
  <c r="G53" i="45"/>
  <c r="I130" i="45"/>
  <c r="K130" i="45" s="1"/>
  <c r="I43" i="45"/>
  <c r="K43" i="45" s="1"/>
  <c r="C64" i="67"/>
  <c r="C68" i="67" s="1"/>
  <c r="C73" i="67" s="1"/>
  <c r="C75" i="67" s="1"/>
  <c r="G157" i="36"/>
  <c r="I157" i="36" s="1"/>
  <c r="G158" i="36"/>
  <c r="G172" i="36" s="1"/>
  <c r="I172" i="36" s="1"/>
  <c r="G154" i="36"/>
  <c r="I154" i="36" s="1"/>
  <c r="E79" i="36"/>
  <c r="E90" i="36" s="1"/>
  <c r="E101" i="36" s="1"/>
  <c r="E112" i="36" s="1"/>
  <c r="F71" i="36"/>
  <c r="I128" i="45"/>
  <c r="K128" i="45" s="1"/>
  <c r="I131" i="36"/>
  <c r="F146" i="36"/>
  <c r="G138" i="63"/>
  <c r="L138" i="63" s="1"/>
  <c r="I137" i="63"/>
  <c r="K137" i="63" s="1"/>
  <c r="F74" i="36"/>
  <c r="I16" i="63"/>
  <c r="K16" i="63" s="1"/>
  <c r="G30" i="63"/>
  <c r="G43" i="63" s="1"/>
  <c r="G26" i="36"/>
  <c r="I26" i="36" s="1"/>
  <c r="G18" i="45"/>
  <c r="G30" i="45" s="1"/>
  <c r="G42" i="45" s="1"/>
  <c r="G55" i="45" s="1"/>
  <c r="G68" i="45" s="1"/>
  <c r="G81" i="45" s="1"/>
  <c r="G94" i="45" s="1"/>
  <c r="G107" i="45" s="1"/>
  <c r="G120" i="45" s="1"/>
  <c r="G12" i="63"/>
  <c r="L12" i="63" s="1"/>
  <c r="G159" i="36"/>
  <c r="G173" i="36" s="1"/>
  <c r="I173" i="36" s="1"/>
  <c r="G160" i="36"/>
  <c r="I160" i="36" s="1"/>
  <c r="G135" i="63"/>
  <c r="L135" i="63" s="1"/>
  <c r="G38" i="36"/>
  <c r="I38" i="36" s="1"/>
  <c r="I131" i="45"/>
  <c r="K131" i="45" s="1"/>
  <c r="F142" i="36"/>
  <c r="I112" i="63"/>
  <c r="F130" i="36"/>
  <c r="G15" i="45"/>
  <c r="G27" i="45" s="1"/>
  <c r="G39" i="45" s="1"/>
  <c r="G52" i="45" s="1"/>
  <c r="G65" i="45" s="1"/>
  <c r="G78" i="45" s="1"/>
  <c r="G91" i="45" s="1"/>
  <c r="G104" i="45" s="1"/>
  <c r="G117" i="45" s="1"/>
  <c r="G148" i="45"/>
  <c r="G163" i="45" s="1"/>
  <c r="B64" i="67"/>
  <c r="B68" i="67" s="1"/>
  <c r="B73" i="67" s="1"/>
  <c r="B75" i="67" s="1"/>
  <c r="G132" i="63"/>
  <c r="L132" i="63" s="1"/>
  <c r="I134" i="45"/>
  <c r="K134" i="45" s="1"/>
  <c r="G145" i="45"/>
  <c r="G160" i="45" s="1"/>
  <c r="B34" i="63"/>
  <c r="B47" i="63" s="1"/>
  <c r="B60" i="63" s="1"/>
  <c r="B73" i="63" s="1"/>
  <c r="F73" i="63" s="1"/>
  <c r="F86" i="63" s="1"/>
  <c r="F99" i="63" s="1"/>
  <c r="F112" i="63" s="1"/>
  <c r="F125" i="63" s="1"/>
  <c r="F140" i="63" s="1"/>
  <c r="F21" i="63"/>
  <c r="I132" i="45"/>
  <c r="K132" i="45" s="1"/>
  <c r="G72" i="63"/>
  <c r="K169" i="63"/>
  <c r="D79" i="36"/>
  <c r="D90" i="36" s="1"/>
  <c r="D101" i="36" s="1"/>
  <c r="D112" i="36" s="1"/>
  <c r="I86" i="63"/>
  <c r="G134" i="63"/>
  <c r="L134" i="63" s="1"/>
  <c r="G37" i="36"/>
  <c r="I37" i="36" s="1"/>
  <c r="F20" i="63"/>
  <c r="I46" i="63"/>
  <c r="K46" i="63" s="1"/>
  <c r="G17" i="63"/>
  <c r="G20" i="63"/>
  <c r="G32" i="63" s="1"/>
  <c r="L32" i="63" s="1"/>
  <c r="G39" i="36"/>
  <c r="I39" i="36" s="1"/>
  <c r="G26" i="45"/>
  <c r="G38" i="45" s="1"/>
  <c r="G51" i="45" s="1"/>
  <c r="G64" i="45" s="1"/>
  <c r="G77" i="45" s="1"/>
  <c r="G90" i="45" s="1"/>
  <c r="G103" i="45" s="1"/>
  <c r="G116" i="45" s="1"/>
  <c r="K112" i="63"/>
  <c r="I16" i="45"/>
  <c r="K16" i="45" s="1"/>
  <c r="I70" i="45"/>
  <c r="K70" i="45" s="1"/>
  <c r="I163" i="45"/>
  <c r="K163" i="45" s="1"/>
  <c r="I11" i="63"/>
  <c r="K11" i="63" s="1"/>
  <c r="G11" i="63"/>
  <c r="I136" i="63"/>
  <c r="K136" i="63" s="1"/>
  <c r="G136" i="63"/>
  <c r="G27" i="36"/>
  <c r="I27" i="36" s="1"/>
  <c r="G135" i="45"/>
  <c r="G150" i="45" s="1"/>
  <c r="G165" i="45" s="1"/>
  <c r="I135" i="45"/>
  <c r="K135" i="45" s="1"/>
  <c r="K125" i="63"/>
  <c r="F134" i="36"/>
  <c r="G21" i="67"/>
  <c r="G62" i="67"/>
  <c r="G147" i="45"/>
  <c r="G162" i="45" s="1"/>
  <c r="I169" i="63"/>
  <c r="I122" i="45"/>
  <c r="I133" i="63"/>
  <c r="K133" i="63" s="1"/>
  <c r="G133" i="63"/>
  <c r="I129" i="45"/>
  <c r="K129" i="45" s="1"/>
  <c r="G129" i="45"/>
  <c r="G144" i="45" s="1"/>
  <c r="G159" i="45" s="1"/>
  <c r="I109" i="45"/>
  <c r="I150" i="63"/>
  <c r="K150" i="63" s="1"/>
  <c r="G153" i="36"/>
  <c r="G167" i="36" s="1"/>
  <c r="F122" i="36"/>
  <c r="I13" i="45"/>
  <c r="K13" i="45" s="1"/>
  <c r="G13" i="45"/>
  <c r="G25" i="45" s="1"/>
  <c r="G37" i="45" s="1"/>
  <c r="G50" i="45" s="1"/>
  <c r="G63" i="45" s="1"/>
  <c r="G76" i="45" s="1"/>
  <c r="G89" i="45" s="1"/>
  <c r="G102" i="45" s="1"/>
  <c r="G28" i="36"/>
  <c r="I28" i="36" s="1"/>
  <c r="I14" i="45"/>
  <c r="K14" i="45" s="1"/>
  <c r="I136" i="45"/>
  <c r="K136" i="45" s="1"/>
  <c r="G136" i="45"/>
  <c r="G151" i="45" s="1"/>
  <c r="G56" i="45"/>
  <c r="G69" i="45" s="1"/>
  <c r="G82" i="45" s="1"/>
  <c r="G95" i="45" s="1"/>
  <c r="G108" i="45" s="1"/>
  <c r="G121" i="45" s="1"/>
  <c r="I71" i="63"/>
  <c r="K71" i="63" s="1"/>
  <c r="I31" i="45"/>
  <c r="I11" i="45"/>
  <c r="K11" i="45" s="1"/>
  <c r="G11" i="45"/>
  <c r="G23" i="45" s="1"/>
  <c r="G35" i="45" s="1"/>
  <c r="D21" i="45"/>
  <c r="K122" i="45"/>
  <c r="K109" i="45"/>
  <c r="G156" i="36"/>
  <c r="I127" i="36"/>
  <c r="D64" i="67"/>
  <c r="D68" i="67" s="1"/>
  <c r="D73" i="67" s="1"/>
  <c r="D75" i="67" s="1"/>
  <c r="G53" i="67"/>
  <c r="I34" i="63"/>
  <c r="F18" i="36"/>
  <c r="F136" i="36"/>
  <c r="G136" i="36" s="1"/>
  <c r="I136" i="36" s="1"/>
  <c r="D138" i="36"/>
  <c r="F138" i="36" s="1"/>
  <c r="I65" i="63"/>
  <c r="G22" i="36"/>
  <c r="I22" i="36" s="1"/>
  <c r="G33" i="36"/>
  <c r="I146" i="63"/>
  <c r="G146" i="45"/>
  <c r="G161" i="45" s="1"/>
  <c r="I146" i="45"/>
  <c r="K146" i="45" s="1"/>
  <c r="G12" i="45"/>
  <c r="G24" i="45" s="1"/>
  <c r="G36" i="45" s="1"/>
  <c r="G49" i="45" s="1"/>
  <c r="I12" i="45"/>
  <c r="K12" i="45" s="1"/>
  <c r="E64" i="67"/>
  <c r="E68" i="67" s="1"/>
  <c r="E73" i="67" s="1"/>
  <c r="E75" i="67" s="1"/>
  <c r="E126" i="36"/>
  <c r="F126" i="36" s="1"/>
  <c r="G35" i="36"/>
  <c r="G24" i="36"/>
  <c r="I24" i="36" s="1"/>
  <c r="I41" i="63"/>
  <c r="B51" i="36"/>
  <c r="F40" i="36"/>
  <c r="I60" i="63"/>
  <c r="K159" i="45"/>
  <c r="I17" i="45"/>
  <c r="K17" i="45" s="1"/>
  <c r="G17" i="45"/>
  <c r="G29" i="45" s="1"/>
  <c r="G41" i="45" s="1"/>
  <c r="G54" i="45" s="1"/>
  <c r="G67" i="45" s="1"/>
  <c r="G80" i="45" s="1"/>
  <c r="G93" i="45" s="1"/>
  <c r="G106" i="45" s="1"/>
  <c r="G119" i="45" s="1"/>
  <c r="I13" i="63"/>
  <c r="G13" i="63"/>
  <c r="K89" i="45"/>
  <c r="I96" i="45"/>
  <c r="K96" i="45" s="1"/>
  <c r="G23" i="36"/>
  <c r="I23" i="36" s="1"/>
  <c r="G12" i="36"/>
  <c r="I12" i="36" s="1"/>
  <c r="G34" i="36"/>
  <c r="I125" i="63"/>
  <c r="C79" i="36"/>
  <c r="C90" i="36" s="1"/>
  <c r="C101" i="36" s="1"/>
  <c r="C112" i="36" s="1"/>
  <c r="C147" i="36" s="1"/>
  <c r="C161" i="36" s="1"/>
  <c r="C175" i="36" s="1"/>
  <c r="I165" i="45"/>
  <c r="K165" i="45" s="1"/>
  <c r="I83" i="45"/>
  <c r="G15" i="63"/>
  <c r="I15" i="63"/>
  <c r="K15" i="63" s="1"/>
  <c r="I99" i="63"/>
  <c r="K99" i="63" s="1"/>
  <c r="G36" i="36"/>
  <c r="G14" i="36"/>
  <c r="I14" i="36" s="1"/>
  <c r="G25" i="36"/>
  <c r="I25" i="36" s="1"/>
  <c r="I143" i="45"/>
  <c r="G143" i="45"/>
  <c r="K37" i="45"/>
  <c r="F64" i="67"/>
  <c r="F68" i="67" s="1"/>
  <c r="F73" i="67" s="1"/>
  <c r="F75" i="67" s="1"/>
  <c r="C84" i="121"/>
  <c r="I144" i="45"/>
  <c r="K144" i="45" s="1"/>
  <c r="F29" i="36"/>
  <c r="L137" i="63"/>
  <c r="G152" i="63"/>
  <c r="I57" i="45"/>
  <c r="K57" i="45" s="1"/>
  <c r="K75" i="45"/>
  <c r="K48" i="45"/>
  <c r="F120" i="36"/>
  <c r="G120" i="36" s="1"/>
  <c r="I120" i="36" s="1"/>
  <c r="F19" i="45"/>
  <c r="E31" i="45"/>
  <c r="G28" i="45"/>
  <c r="J28" i="63" l="1"/>
  <c r="G41" i="63"/>
  <c r="G54" i="63" s="1"/>
  <c r="G169" i="36"/>
  <c r="I169" i="36" s="1"/>
  <c r="L30" i="63"/>
  <c r="I159" i="36"/>
  <c r="G26" i="63"/>
  <c r="L26" i="63" s="1"/>
  <c r="I158" i="36"/>
  <c r="I44" i="45"/>
  <c r="K44" i="45" s="1"/>
  <c r="G146" i="63"/>
  <c r="L146" i="63" s="1"/>
  <c r="K140" i="63"/>
  <c r="G168" i="36"/>
  <c r="I168" i="36" s="1"/>
  <c r="C76" i="67"/>
  <c r="G66" i="45"/>
  <c r="G79" i="45" s="1"/>
  <c r="G92" i="45" s="1"/>
  <c r="G105" i="45" s="1"/>
  <c r="G118" i="45" s="1"/>
  <c r="H58" i="45"/>
  <c r="D147" i="36"/>
  <c r="D161" i="36" s="1"/>
  <c r="D175" i="36" s="1"/>
  <c r="G147" i="63"/>
  <c r="G162" i="63" s="1"/>
  <c r="L162" i="63" s="1"/>
  <c r="I153" i="36"/>
  <c r="G171" i="36"/>
  <c r="I171" i="36" s="1"/>
  <c r="G49" i="36"/>
  <c r="I49" i="36" s="1"/>
  <c r="G153" i="63"/>
  <c r="F34" i="63"/>
  <c r="F47" i="63" s="1"/>
  <c r="F60" i="63" s="1"/>
  <c r="G149" i="63"/>
  <c r="L149" i="63" s="1"/>
  <c r="I47" i="63"/>
  <c r="G174" i="36"/>
  <c r="I174" i="36" s="1"/>
  <c r="B86" i="63"/>
  <c r="B99" i="63" s="1"/>
  <c r="B112" i="63" s="1"/>
  <c r="B125" i="63" s="1"/>
  <c r="B140" i="63" s="1"/>
  <c r="B155" i="63" s="1"/>
  <c r="F155" i="63" s="1"/>
  <c r="G45" i="63"/>
  <c r="L45" i="63" s="1"/>
  <c r="G150" i="63"/>
  <c r="L150" i="63" s="1"/>
  <c r="G48" i="36"/>
  <c r="G59" i="36" s="1"/>
  <c r="K83" i="45"/>
  <c r="I137" i="45"/>
  <c r="G64" i="67"/>
  <c r="I66" i="67" s="1"/>
  <c r="G50" i="36"/>
  <c r="G161" i="36"/>
  <c r="B76" i="67"/>
  <c r="L72" i="63"/>
  <c r="G85" i="63"/>
  <c r="G137" i="45"/>
  <c r="L17" i="63"/>
  <c r="G31" i="63"/>
  <c r="L133" i="63"/>
  <c r="G148" i="63"/>
  <c r="I19" i="45"/>
  <c r="K137" i="45"/>
  <c r="L136" i="63"/>
  <c r="G151" i="63"/>
  <c r="J34" i="63"/>
  <c r="K28" i="63"/>
  <c r="G140" i="63"/>
  <c r="L11" i="63"/>
  <c r="G25" i="63"/>
  <c r="I140" i="63"/>
  <c r="K146" i="63"/>
  <c r="K155" i="63" s="1"/>
  <c r="I155" i="63"/>
  <c r="I34" i="36"/>
  <c r="G45" i="36"/>
  <c r="F51" i="36"/>
  <c r="B62" i="36"/>
  <c r="K143" i="45"/>
  <c r="K152" i="45" s="1"/>
  <c r="I152" i="45"/>
  <c r="K166" i="45"/>
  <c r="I167" i="36"/>
  <c r="I35" i="36"/>
  <c r="G46" i="36"/>
  <c r="G60" i="36"/>
  <c r="H45" i="45"/>
  <c r="G62" i="45"/>
  <c r="G75" i="45" s="1"/>
  <c r="H156" i="36"/>
  <c r="H161" i="36" s="1"/>
  <c r="G170" i="36"/>
  <c r="I170" i="36" s="1"/>
  <c r="I36" i="36"/>
  <c r="G47" i="36"/>
  <c r="G19" i="45"/>
  <c r="G167" i="63"/>
  <c r="L167" i="63" s="1"/>
  <c r="L152" i="63"/>
  <c r="L15" i="63"/>
  <c r="G29" i="63"/>
  <c r="K13" i="63"/>
  <c r="I21" i="63"/>
  <c r="G44" i="36"/>
  <c r="I33" i="36"/>
  <c r="D76" i="67"/>
  <c r="C21" i="45"/>
  <c r="C31" i="45" s="1"/>
  <c r="C44" i="45" s="1"/>
  <c r="C57" i="45" s="1"/>
  <c r="C70" i="45" s="1"/>
  <c r="C83" i="45" s="1"/>
  <c r="C96" i="45" s="1"/>
  <c r="C109" i="45" s="1"/>
  <c r="C122" i="45" s="1"/>
  <c r="C137" i="45" s="1"/>
  <c r="C152" i="45" s="1"/>
  <c r="C166" i="45" s="1"/>
  <c r="D31" i="45"/>
  <c r="D44" i="45" s="1"/>
  <c r="D57" i="45" s="1"/>
  <c r="D70" i="45" s="1"/>
  <c r="D83" i="45" s="1"/>
  <c r="D96" i="45" s="1"/>
  <c r="D109" i="45" s="1"/>
  <c r="D122" i="45" s="1"/>
  <c r="D137" i="45" s="1"/>
  <c r="D152" i="45" s="1"/>
  <c r="D166" i="45" s="1"/>
  <c r="G31" i="45"/>
  <c r="L13" i="63"/>
  <c r="G21" i="63"/>
  <c r="G27" i="63"/>
  <c r="E76" i="67"/>
  <c r="K65" i="63"/>
  <c r="I73" i="63"/>
  <c r="G48" i="45"/>
  <c r="G44" i="45"/>
  <c r="E147" i="36"/>
  <c r="E161" i="36" s="1"/>
  <c r="E175" i="36" s="1"/>
  <c r="G56" i="63"/>
  <c r="L43" i="63"/>
  <c r="G115" i="45"/>
  <c r="G110" i="45"/>
  <c r="G158" i="45"/>
  <c r="G166" i="45" s="1"/>
  <c r="G152" i="45"/>
  <c r="I166" i="45"/>
  <c r="E44" i="45"/>
  <c r="E57" i="45" s="1"/>
  <c r="E70" i="45" s="1"/>
  <c r="E83" i="45" s="1"/>
  <c r="E96" i="45" s="1"/>
  <c r="E109" i="45" s="1"/>
  <c r="E122" i="45" s="1"/>
  <c r="E137" i="45" s="1"/>
  <c r="E152" i="45" s="1"/>
  <c r="L41" i="63" l="1"/>
  <c r="J41" i="63"/>
  <c r="J47" i="63" s="1"/>
  <c r="K47" i="63" s="1"/>
  <c r="I48" i="36"/>
  <c r="G58" i="63"/>
  <c r="L58" i="63" s="1"/>
  <c r="B169" i="63"/>
  <c r="F169" i="63" s="1"/>
  <c r="G161" i="63"/>
  <c r="L161" i="63" s="1"/>
  <c r="G39" i="63"/>
  <c r="L39" i="63" s="1"/>
  <c r="L147" i="63"/>
  <c r="I65" i="67"/>
  <c r="G68" i="67"/>
  <c r="G73" i="67" s="1"/>
  <c r="G75" i="67" s="1"/>
  <c r="G164" i="63"/>
  <c r="L164" i="63" s="1"/>
  <c r="G165" i="63"/>
  <c r="L165" i="63" s="1"/>
  <c r="G168" i="63"/>
  <c r="L168" i="63" s="1"/>
  <c r="L153" i="63"/>
  <c r="I50" i="36"/>
  <c r="G61" i="36"/>
  <c r="L31" i="63"/>
  <c r="G44" i="63"/>
  <c r="L85" i="63"/>
  <c r="G98" i="63"/>
  <c r="G166" i="63"/>
  <c r="L166" i="63" s="1"/>
  <c r="L151" i="63"/>
  <c r="G155" i="63"/>
  <c r="L155" i="63" s="1"/>
  <c r="G163" i="63"/>
  <c r="L163" i="63" s="1"/>
  <c r="L148" i="63"/>
  <c r="L25" i="63"/>
  <c r="G38" i="63"/>
  <c r="I59" i="36"/>
  <c r="G74" i="36"/>
  <c r="I47" i="36"/>
  <c r="G58" i="36"/>
  <c r="G40" i="63"/>
  <c r="L27" i="63"/>
  <c r="G34" i="63"/>
  <c r="G57" i="45"/>
  <c r="G61" i="45"/>
  <c r="H84" i="45"/>
  <c r="G88" i="45"/>
  <c r="G101" i="45" s="1"/>
  <c r="G114" i="45" s="1"/>
  <c r="I46" i="36"/>
  <c r="G57" i="36"/>
  <c r="F31" i="45"/>
  <c r="F44" i="45" s="1"/>
  <c r="F57" i="45" s="1"/>
  <c r="F70" i="45" s="1"/>
  <c r="F83" i="45" s="1"/>
  <c r="F96" i="45" s="1"/>
  <c r="F109" i="45" s="1"/>
  <c r="F122" i="45" s="1"/>
  <c r="F137" i="45" s="1"/>
  <c r="L56" i="63"/>
  <c r="G69" i="63"/>
  <c r="G67" i="63"/>
  <c r="L54" i="63"/>
  <c r="J54" i="63"/>
  <c r="G55" i="36"/>
  <c r="I44" i="36"/>
  <c r="I156" i="36"/>
  <c r="L29" i="63"/>
  <c r="G42" i="63"/>
  <c r="G175" i="36"/>
  <c r="G56" i="36"/>
  <c r="I45" i="36"/>
  <c r="I60" i="36"/>
  <c r="G77" i="36"/>
  <c r="F62" i="36"/>
  <c r="F79" i="36" s="1"/>
  <c r="B79" i="36"/>
  <c r="B90" i="36" s="1"/>
  <c r="F152" i="45"/>
  <c r="E166" i="45"/>
  <c r="F166" i="45" s="1"/>
  <c r="K41" i="63" l="1"/>
  <c r="G52" i="63"/>
  <c r="G71" i="63"/>
  <c r="L71" i="63" s="1"/>
  <c r="G169" i="63"/>
  <c r="I61" i="36"/>
  <c r="G78" i="36"/>
  <c r="G57" i="63"/>
  <c r="L44" i="63"/>
  <c r="L98" i="63"/>
  <c r="G111" i="63"/>
  <c r="L52" i="63"/>
  <c r="G65" i="63"/>
  <c r="L38" i="63"/>
  <c r="G51" i="63"/>
  <c r="L67" i="63"/>
  <c r="G80" i="63"/>
  <c r="J67" i="63"/>
  <c r="G67" i="36"/>
  <c r="I56" i="36"/>
  <c r="L42" i="63"/>
  <c r="G55" i="63"/>
  <c r="J60" i="63"/>
  <c r="K60" i="63" s="1"/>
  <c r="K54" i="63"/>
  <c r="G68" i="36"/>
  <c r="I57" i="36"/>
  <c r="F90" i="36"/>
  <c r="B101" i="36"/>
  <c r="L69" i="63"/>
  <c r="G82" i="63"/>
  <c r="G87" i="36"/>
  <c r="I74" i="36"/>
  <c r="I58" i="36"/>
  <c r="G71" i="36"/>
  <c r="G66" i="36"/>
  <c r="I55" i="36"/>
  <c r="L40" i="63"/>
  <c r="G47" i="63"/>
  <c r="G53" i="63"/>
  <c r="I77" i="36"/>
  <c r="G88" i="36"/>
  <c r="G70" i="45"/>
  <c r="G74" i="45"/>
  <c r="G84" i="63" l="1"/>
  <c r="G89" i="36"/>
  <c r="I78" i="36"/>
  <c r="L57" i="63"/>
  <c r="G70" i="63"/>
  <c r="G124" i="63"/>
  <c r="L124" i="63" s="1"/>
  <c r="L111" i="63"/>
  <c r="G64" i="63"/>
  <c r="L51" i="63"/>
  <c r="G78" i="63"/>
  <c r="L65" i="63"/>
  <c r="G86" i="36"/>
  <c r="I71" i="36"/>
  <c r="G85" i="36"/>
  <c r="I68" i="36"/>
  <c r="G99" i="36"/>
  <c r="I88" i="36"/>
  <c r="G95" i="63"/>
  <c r="L82" i="63"/>
  <c r="F101" i="36"/>
  <c r="B112" i="36"/>
  <c r="L84" i="63"/>
  <c r="G97" i="63"/>
  <c r="G66" i="63"/>
  <c r="L53" i="63"/>
  <c r="G60" i="63"/>
  <c r="L55" i="63"/>
  <c r="G68" i="63"/>
  <c r="I67" i="36"/>
  <c r="G84" i="36"/>
  <c r="J73" i="63"/>
  <c r="K73" i="63" s="1"/>
  <c r="K86" i="63" s="1"/>
  <c r="K67" i="63"/>
  <c r="I87" i="36"/>
  <c r="G98" i="36"/>
  <c r="L80" i="63"/>
  <c r="G93" i="63"/>
  <c r="G87" i="45"/>
  <c r="G83" i="45"/>
  <c r="G83" i="36"/>
  <c r="I66" i="36"/>
  <c r="G100" i="36" l="1"/>
  <c r="I89" i="36"/>
  <c r="L70" i="63"/>
  <c r="G83" i="63"/>
  <c r="L64" i="63"/>
  <c r="G77" i="63"/>
  <c r="G91" i="63"/>
  <c r="L78" i="63"/>
  <c r="L66" i="63"/>
  <c r="G79" i="63"/>
  <c r="G73" i="63"/>
  <c r="I84" i="36"/>
  <c r="G95" i="36"/>
  <c r="I99" i="36"/>
  <c r="G110" i="36"/>
  <c r="I110" i="36" s="1"/>
  <c r="G81" i="63"/>
  <c r="L68" i="63"/>
  <c r="G110" i="63"/>
  <c r="L97" i="63"/>
  <c r="I85" i="36"/>
  <c r="G96" i="36"/>
  <c r="B147" i="36"/>
  <c r="B161" i="36" s="1"/>
  <c r="F112" i="36"/>
  <c r="F147" i="36" s="1"/>
  <c r="G106" i="63"/>
  <c r="L93" i="63"/>
  <c r="G109" i="36"/>
  <c r="I109" i="36" s="1"/>
  <c r="I98" i="36"/>
  <c r="G94" i="36"/>
  <c r="I83" i="36"/>
  <c r="L95" i="63"/>
  <c r="G108" i="63"/>
  <c r="G100" i="45"/>
  <c r="G96" i="45"/>
  <c r="G97" i="36"/>
  <c r="I86" i="36"/>
  <c r="G111" i="36" l="1"/>
  <c r="I111" i="36" s="1"/>
  <c r="I100" i="36"/>
  <c r="G96" i="63"/>
  <c r="L83" i="63"/>
  <c r="G104" i="63"/>
  <c r="L91" i="63"/>
  <c r="G90" i="63"/>
  <c r="L77" i="63"/>
  <c r="B175" i="36"/>
  <c r="F175" i="36" s="1"/>
  <c r="F161" i="36"/>
  <c r="G109" i="45"/>
  <c r="G113" i="45"/>
  <c r="G122" i="45" s="1"/>
  <c r="L108" i="63"/>
  <c r="G121" i="63"/>
  <c r="L121" i="63" s="1"/>
  <c r="I97" i="36"/>
  <c r="G108" i="36"/>
  <c r="I108" i="36" s="1"/>
  <c r="I94" i="36"/>
  <c r="G105" i="36"/>
  <c r="I105" i="36" s="1"/>
  <c r="G92" i="63"/>
  <c r="L79" i="63"/>
  <c r="G86" i="63"/>
  <c r="I96" i="36"/>
  <c r="G107" i="36"/>
  <c r="I107" i="36" s="1"/>
  <c r="G94" i="63"/>
  <c r="L81" i="63"/>
  <c r="L106" i="63"/>
  <c r="G119" i="63"/>
  <c r="L119" i="63" s="1"/>
  <c r="L110" i="63"/>
  <c r="G123" i="63"/>
  <c r="L123" i="63" s="1"/>
  <c r="G106" i="36"/>
  <c r="I106" i="36" s="1"/>
  <c r="I95" i="36"/>
  <c r="G109" i="63" l="1"/>
  <c r="L96" i="63"/>
  <c r="G103" i="63"/>
  <c r="L90" i="63"/>
  <c r="G117" i="63"/>
  <c r="L117" i="63" s="1"/>
  <c r="L104" i="63"/>
  <c r="G107" i="63"/>
  <c r="L94" i="63"/>
  <c r="G105" i="63"/>
  <c r="L92" i="63"/>
  <c r="G99" i="63"/>
  <c r="L109" i="63" l="1"/>
  <c r="G122" i="63"/>
  <c r="L122" i="63" s="1"/>
  <c r="L103" i="63"/>
  <c r="G116" i="63"/>
  <c r="L116" i="63" s="1"/>
  <c r="G120" i="63"/>
  <c r="L120" i="63" s="1"/>
  <c r="L107" i="63"/>
  <c r="G118" i="63"/>
  <c r="L105" i="63"/>
  <c r="G112" i="63"/>
  <c r="L118" i="63" l="1"/>
  <c r="G125" i="63"/>
</calcChain>
</file>

<file path=xl/comments1.xml><?xml version="1.0" encoding="utf-8"?>
<comments xmlns="http://schemas.openxmlformats.org/spreadsheetml/2006/main">
  <authors>
    <author>Donna Faunce</author>
  </authors>
  <commentList>
    <comment ref="G75" authorId="0">
      <text>
        <r>
          <rPr>
            <b/>
            <sz val="9"/>
            <color indexed="81"/>
            <rFont val="Tahoma"/>
            <family val="2"/>
          </rPr>
          <t>Donna Faunce:</t>
        </r>
        <r>
          <rPr>
            <sz val="9"/>
            <color indexed="81"/>
            <rFont val="Tahoma"/>
            <family val="2"/>
          </rPr>
          <t xml:space="preserve">
Includes on top adjustments for entries booked after the 9/30 close to the HC &amp; LI disbursement expense accounts
</t>
        </r>
      </text>
    </comment>
    <comment ref="G77" authorId="0">
      <text>
        <r>
          <rPr>
            <b/>
            <sz val="9"/>
            <color indexed="81"/>
            <rFont val="Tahoma"/>
            <family val="2"/>
          </rPr>
          <t>Donna Faunce:</t>
        </r>
        <r>
          <rPr>
            <sz val="9"/>
            <color indexed="81"/>
            <rFont val="Tahoma"/>
            <family val="2"/>
          </rPr>
          <t xml:space="preserve">
Includes depreciation expense</t>
        </r>
      </text>
    </comment>
  </commentList>
</comments>
</file>

<file path=xl/comments2.xml><?xml version="1.0" encoding="utf-8"?>
<comments xmlns="http://schemas.openxmlformats.org/spreadsheetml/2006/main">
  <authors>
    <author>cmann</author>
  </authors>
  <commentList>
    <comment ref="A36" authorId="0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Add DCIA to late charges</t>
        </r>
      </text>
    </comment>
  </commentList>
</comments>
</file>

<file path=xl/comments3.xml><?xml version="1.0" encoding="utf-8"?>
<comments xmlns="http://schemas.openxmlformats.org/spreadsheetml/2006/main">
  <authors>
    <author>cmann</author>
  </authors>
  <commentList>
    <comment ref="G153" authorId="0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correct per TB generated w/ FRx by Victor</t>
        </r>
      </text>
    </comment>
  </commentList>
</comments>
</file>

<file path=xl/comments4.xml><?xml version="1.0" encoding="utf-8"?>
<comments xmlns="http://schemas.openxmlformats.org/spreadsheetml/2006/main">
  <authors>
    <author>vmalychev</author>
    <author>cmann</author>
  </authors>
  <commentList>
    <comment ref="A19" authorId="0">
      <text>
        <r>
          <rPr>
            <b/>
            <sz val="14"/>
            <color indexed="81"/>
            <rFont val="Tahoma"/>
            <family val="2"/>
          </rPr>
          <t xml:space="preserve">vmalychev: </t>
        </r>
        <r>
          <rPr>
            <sz val="14"/>
            <color indexed="81"/>
            <rFont val="Tahoma"/>
            <family val="2"/>
          </rPr>
          <t xml:space="preserve">To adjust Dec 08 Interest Income.  Dec 08 Interest Income was overstated by $0.27M as a result of using the "old version" of Dec 08 Trial Balance that was run on 1/12/09. </t>
        </r>
      </text>
    </comment>
    <comment ref="A39" authorId="1">
      <text>
        <r>
          <rPr>
            <b/>
            <sz val="8"/>
            <color indexed="81"/>
            <rFont val="Tahoma"/>
            <family val="2"/>
          </rPr>
          <t>cmann:</t>
        </r>
        <r>
          <rPr>
            <sz val="8"/>
            <color indexed="81"/>
            <rFont val="Tahoma"/>
            <family val="2"/>
          </rPr>
          <t xml:space="preserve">
Add DCIA to late charges</t>
        </r>
      </text>
    </comment>
  </commentList>
</comments>
</file>

<file path=xl/sharedStrings.xml><?xml version="1.0" encoding="utf-8"?>
<sst xmlns="http://schemas.openxmlformats.org/spreadsheetml/2006/main" count="9172" uniqueCount="442">
  <si>
    <t>Universal Service Administrative Company</t>
  </si>
  <si>
    <t>FUND BALANCE - ACCRUAL BASIS</t>
  </si>
  <si>
    <t>SL Program</t>
  </si>
  <si>
    <t>High Cost Program</t>
  </si>
  <si>
    <t>Low Income Program</t>
  </si>
  <si>
    <t>RHC Program</t>
  </si>
  <si>
    <t>Total</t>
  </si>
  <si>
    <t>JANUARY</t>
  </si>
  <si>
    <t>Billings</t>
  </si>
  <si>
    <t>Late Charges net of waived</t>
  </si>
  <si>
    <t>Late Filing fee</t>
  </si>
  <si>
    <t>Deferred Payment Plan Fees</t>
  </si>
  <si>
    <t>Bad Debt expense</t>
  </si>
  <si>
    <t>Program Disbursements</t>
  </si>
  <si>
    <t>Admin Expenses</t>
  </si>
  <si>
    <t>Interest Income</t>
  </si>
  <si>
    <t>ENDING BALANCE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</si>
  <si>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</si>
  <si>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</si>
  <si>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</si>
  <si>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</si>
  <si>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</si>
  <si>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</si>
  <si>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</si>
  <si>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</si>
  <si>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</si>
  <si>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</si>
  <si>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 AMT Billed</t>
  </si>
  <si>
    <t>Fund Balance 12/31/07</t>
  </si>
  <si>
    <t>Fund BalanceYTD</t>
  </si>
  <si>
    <t>Account</t>
  </si>
  <si>
    <t>Net Change</t>
  </si>
  <si>
    <t>Ending Balance</t>
  </si>
  <si>
    <t>Variance</t>
  </si>
  <si>
    <t>590000-20</t>
  </si>
  <si>
    <t>590000-30</t>
  </si>
  <si>
    <t>590000-40</t>
  </si>
  <si>
    <t>590000-50</t>
  </si>
  <si>
    <t>590000-60</t>
  </si>
  <si>
    <t>610001-60</t>
  </si>
  <si>
    <t>610002-20</t>
  </si>
  <si>
    <t>610002-30</t>
  </si>
  <si>
    <t>610002-40</t>
  </si>
  <si>
    <t>610002-50</t>
  </si>
  <si>
    <t>Per M04</t>
  </si>
  <si>
    <t>Per TB</t>
  </si>
  <si>
    <t>Var</t>
  </si>
  <si>
    <t xml:space="preserve">  Bad Debt per TB Summary</t>
  </si>
  <si>
    <t xml:space="preserve">  Bad Debt Audit Adj</t>
  </si>
  <si>
    <t xml:space="preserve">  Program Disb per TB Summary</t>
  </si>
  <si>
    <t xml:space="preserve">  Program Disb Adj</t>
  </si>
  <si>
    <t xml:space="preserve">  Admin Expenses per TB Summary</t>
  </si>
  <si>
    <t xml:space="preserve">  Admin Expenses Adj</t>
  </si>
  <si>
    <t>USF Standard GL</t>
  </si>
  <si>
    <t>DECEMBER</t>
  </si>
  <si>
    <t>Bad Debt expense - per Sep M04 (old TB version)</t>
  </si>
  <si>
    <t>Bad Debt expense - per Sep TB (correct TB version)</t>
  </si>
  <si>
    <t>Program Disbursements - per Sep M04 (old TB version)</t>
  </si>
  <si>
    <t>Program Disbursements - per Sep TB (correct TB version)</t>
  </si>
  <si>
    <t xml:space="preserve">  Program Disbursements - Adjustment to correct Sep M04</t>
  </si>
  <si>
    <t>Admin Expenses - per Sep M04 (old TB version)</t>
  </si>
  <si>
    <t>Admin Expenses - per Sep TB (correct TB version)</t>
  </si>
  <si>
    <t xml:space="preserve">  Admin Expenses - Adjustment to correct Sep M04</t>
  </si>
  <si>
    <t>Interest Income - per Sep M04 (old TB version)</t>
  </si>
  <si>
    <t>Interest Income - per Sep TB (correct TB version)</t>
  </si>
  <si>
    <t xml:space="preserve">  Interest Income - Adjustment to correct Sep M04</t>
  </si>
  <si>
    <t>Deferred Payment Plan Fees - per Sep TB (correct TB version)</t>
  </si>
  <si>
    <t>Deferred Payment Plan Fees - per Sep M04 (old TB version)</t>
  </si>
  <si>
    <t>Late Charges net of waived - per Sep M04 (old TB version)</t>
  </si>
  <si>
    <t>Late Filing fee - per Sep M04 (old TB version)</t>
  </si>
  <si>
    <t>Late Charges net of waived - per Sep TB (correct TB version)</t>
  </si>
  <si>
    <t>Late Filing fee - per Sep TB (correct TB version)</t>
  </si>
  <si>
    <t xml:space="preserve">  Late Filing fee - Adjustment to correct Sep M04</t>
  </si>
  <si>
    <t xml:space="preserve">  Late Charges net of waived - Adjustment to correct Sep M04</t>
  </si>
  <si>
    <t xml:space="preserve">  Deferred Payment Plan Fees - Adjustment to correct Sep M04</t>
  </si>
  <si>
    <t>Bad Debt Expense</t>
  </si>
  <si>
    <t xml:space="preserve">  Bad Debt Expense - Adjustment to correct Sep M04</t>
  </si>
  <si>
    <t>Fund Balance 12/31/08</t>
  </si>
  <si>
    <t>Fund Balance 12/31/06</t>
  </si>
  <si>
    <t>Non-Expenditure Financing</t>
  </si>
  <si>
    <t>576500-20</t>
  </si>
  <si>
    <t>576500-30</t>
  </si>
  <si>
    <t>576500-40</t>
  </si>
  <si>
    <t>576500-50</t>
  </si>
  <si>
    <t>YTD Ending Balance</t>
  </si>
  <si>
    <t>Variance (Net Change)</t>
  </si>
  <si>
    <t>M04 Schedule - Fund Balance on Accrual Basis</t>
  </si>
  <si>
    <t>For the Three Months Ending December 31, 2008</t>
  </si>
  <si>
    <t>FRx Catalog ID: M04 Fund Balance</t>
  </si>
  <si>
    <t>Report generated on 01/12/09</t>
  </si>
  <si>
    <t>BB</t>
  </si>
  <si>
    <t>December</t>
  </si>
  <si>
    <t>YTD</t>
  </si>
  <si>
    <t>Billings-SLD</t>
  </si>
  <si>
    <t>Billings-HC</t>
  </si>
  <si>
    <t>Billings-LI</t>
  </si>
  <si>
    <t>Billings-RHC</t>
  </si>
  <si>
    <t>Billings-Unapplied Funds</t>
  </si>
  <si>
    <t>Total Billings</t>
  </si>
  <si>
    <t>Late Charges-SLD</t>
  </si>
  <si>
    <t>53200020 +(59000120) +(53200320)</t>
  </si>
  <si>
    <t>Late Charges-HC</t>
  </si>
  <si>
    <t>53200030 +(59000130) +(53200330)</t>
  </si>
  <si>
    <t>Late Charges-LI</t>
  </si>
  <si>
    <t>53200040 +(59000140) +(53200340)</t>
  </si>
  <si>
    <t>Late Charges-RHC</t>
  </si>
  <si>
    <t>53200050 +(59000150) +(53200350)</t>
  </si>
  <si>
    <t>Total Late Charges</t>
  </si>
  <si>
    <t>Late Filing Fee-SLD</t>
  </si>
  <si>
    <t>53200120 +(59000220)</t>
  </si>
  <si>
    <t>Late Filing Fee-HC</t>
  </si>
  <si>
    <t>53200130 +(59000230)</t>
  </si>
  <si>
    <t>Late Filing Fee-LI</t>
  </si>
  <si>
    <t>53200140 +(59000240)</t>
  </si>
  <si>
    <t>Late Filing Fee-RHC</t>
  </si>
  <si>
    <t>53200150 +(59000250)</t>
  </si>
  <si>
    <t>Total Late Filing Fees</t>
  </si>
  <si>
    <t>Deferred Payment Plan-SLD</t>
  </si>
  <si>
    <t>53200220 +(59000320)</t>
  </si>
  <si>
    <t>Deferred Payment Plan-HC</t>
  </si>
  <si>
    <t>53200230 +(59000330)</t>
  </si>
  <si>
    <t>Deferred Payment Plan-LI</t>
  </si>
  <si>
    <t>53200240 +(59000340)</t>
  </si>
  <si>
    <t>Deferred Payment Plan-RHC</t>
  </si>
  <si>
    <t>53200250 +(59000350)</t>
  </si>
  <si>
    <t>Total Payment Plan Fees</t>
  </si>
  <si>
    <t>Bad Debt Expense-SLD</t>
  </si>
  <si>
    <t>67200020 +(67200120)</t>
  </si>
  <si>
    <t>Bad debt Expense-HC</t>
  </si>
  <si>
    <t>67200030 +(67200130)</t>
  </si>
  <si>
    <t>Bad Debt Expense-LI</t>
  </si>
  <si>
    <t>67200040 +(67200140)</t>
  </si>
  <si>
    <t>Bad debt Expense-RHC</t>
  </si>
  <si>
    <t>67200050 +(67200150)</t>
  </si>
  <si>
    <t>Total Bad Debt Expense</t>
  </si>
  <si>
    <t>Disbursements-SLD</t>
  </si>
  <si>
    <t>61000120 +(61000320)</t>
  </si>
  <si>
    <t>Disbursements-HC</t>
  </si>
  <si>
    <t>61000130 +(61000330)</t>
  </si>
  <si>
    <t>Disbursements-LI</t>
  </si>
  <si>
    <t>61000140 +(61000340)</t>
  </si>
  <si>
    <t>Disbursements-RHC</t>
  </si>
  <si>
    <t>61000150 +(61000350)</t>
  </si>
  <si>
    <t>Total Disbursements</t>
  </si>
  <si>
    <t>Disbursements-Unapplied Funds</t>
  </si>
  <si>
    <t>Note: Disbursements-Unapplied Funds should be zero. If not, alert Accounting Manager.</t>
  </si>
  <si>
    <t>FCC OIG Transfer-SLD</t>
  </si>
  <si>
    <t>FCC OIG Transfer-HC</t>
  </si>
  <si>
    <t>FCC OIG Transfer-LI</t>
  </si>
  <si>
    <t>FCC OIG Transfer-RHC</t>
  </si>
  <si>
    <t>Total FCC OIG Transfer</t>
  </si>
  <si>
    <t>Admin expense-SLD</t>
  </si>
  <si>
    <t>Admin expense-HC</t>
  </si>
  <si>
    <t>Admin expense-LI</t>
  </si>
  <si>
    <t>Admin expense-RHC</t>
  </si>
  <si>
    <t>Total Admin Expense</t>
  </si>
  <si>
    <t>Interest Income-SLD</t>
  </si>
  <si>
    <t>53100020 +(53110220)</t>
  </si>
  <si>
    <t>Interest Income-HC</t>
  </si>
  <si>
    <t>53100030 +(53110230)</t>
  </si>
  <si>
    <t>Interest Income-LI</t>
  </si>
  <si>
    <t>53100040 +(53110240)</t>
  </si>
  <si>
    <t>Interest Income-RHC</t>
  </si>
  <si>
    <t>53100050 +(53110250)</t>
  </si>
  <si>
    <t>Total Interest Income</t>
  </si>
  <si>
    <t>For the Four Months Ending January 31, 2009</t>
  </si>
  <si>
    <t>Report generated on 02/11/09</t>
  </si>
  <si>
    <t>January</t>
  </si>
  <si>
    <t>For the Five Months Ending February 28, 2009</t>
  </si>
  <si>
    <t>Report generated on 03/19/09</t>
  </si>
  <si>
    <t>February</t>
  </si>
  <si>
    <t>Report generated on 03/23/09</t>
  </si>
  <si>
    <t>VAR</t>
  </si>
  <si>
    <t>Dec 08 TB run on  1/12/09</t>
  </si>
  <si>
    <t xml:space="preserve">   Interest Income</t>
  </si>
  <si>
    <t xml:space="preserve">   Interest Income Adjustment</t>
  </si>
  <si>
    <t>Report generated on 04/07/09</t>
  </si>
  <si>
    <t>March</t>
  </si>
  <si>
    <t>Report generated on 04/09/09</t>
  </si>
  <si>
    <t>For the Six Months Ending March 31, 2009</t>
  </si>
  <si>
    <t>For the Seven Months Ending April 30, 2009</t>
  </si>
  <si>
    <t>Report generated on 05/19/09</t>
  </si>
  <si>
    <t>April</t>
  </si>
  <si>
    <t>For the Eight Months Ending May 31, 2009</t>
  </si>
  <si>
    <t>Report generated on 06/10/09</t>
  </si>
  <si>
    <t>May</t>
  </si>
  <si>
    <t>For the Nine Months Ending June 30, 2009</t>
  </si>
  <si>
    <t>Report generated on 07/10/09</t>
  </si>
  <si>
    <t>June</t>
  </si>
  <si>
    <t>Report generated on 07/13/09</t>
  </si>
  <si>
    <t>Report generated on 07/14/09</t>
  </si>
  <si>
    <t>For the Ten Months Ending July 31, 2009</t>
  </si>
  <si>
    <t>Report generated on 08/18/09</t>
  </si>
  <si>
    <t>July</t>
  </si>
  <si>
    <t>For the Eleven Months Ending August 31, 2009</t>
  </si>
  <si>
    <t>Report generated on 09/15/09</t>
  </si>
  <si>
    <t>August</t>
  </si>
  <si>
    <t>For the Twelve Months Ending September 30, 2009</t>
  </si>
  <si>
    <t>Report generated on 10/09/09</t>
  </si>
  <si>
    <t>September</t>
  </si>
  <si>
    <t>For the Month Ending October 31, 2009</t>
  </si>
  <si>
    <t>Report generated on 11/20/09</t>
  </si>
  <si>
    <t>October</t>
  </si>
  <si>
    <t>For the Two Months Ending November 30, 2009</t>
  </si>
  <si>
    <t>Report generated on 12/10/09</t>
  </si>
  <si>
    <t>November</t>
  </si>
  <si>
    <t>For the Three Months Ending December 31, 2009</t>
  </si>
  <si>
    <t>Report generated on 01/12/10</t>
  </si>
  <si>
    <t>For the Four Months Ending January 31, 2010</t>
  </si>
  <si>
    <t>Report generated on 02/22/10</t>
  </si>
  <si>
    <t>For the Five Months Ending February 28, 2010</t>
  </si>
  <si>
    <t>Report generated on 03/11/10</t>
  </si>
  <si>
    <t>For the Six Months Ending March 31, 2010</t>
  </si>
  <si>
    <t>Report generated on 04/11/10</t>
  </si>
  <si>
    <t>First Q 2010 Activity:</t>
  </si>
  <si>
    <t>Second Q 2010 Activity:</t>
  </si>
  <si>
    <t>Third Q 2010 Activity:</t>
  </si>
  <si>
    <t>Fourth Q 2010 Activity:</t>
  </si>
  <si>
    <t>Year to Date 2010 Activity:</t>
  </si>
  <si>
    <t>For the Seven Months Ending April 30, 2010</t>
  </si>
  <si>
    <t>Report generated on 05/12/10</t>
  </si>
  <si>
    <t>Q2 2010</t>
  </si>
  <si>
    <t>SLC</t>
  </si>
  <si>
    <t>HC</t>
  </si>
  <si>
    <t>LI</t>
  </si>
  <si>
    <t>RHC</t>
  </si>
  <si>
    <t>Unapplied</t>
  </si>
  <si>
    <t xml:space="preserve">Cash Beginning Balance </t>
  </si>
  <si>
    <t>Cash Receipts from Operations</t>
  </si>
  <si>
    <t>Applied Payments</t>
  </si>
  <si>
    <t>Allocation of Unapplied Cash</t>
  </si>
  <si>
    <t>Payment Plan</t>
  </si>
  <si>
    <t>Unapplied Payments Received</t>
  </si>
  <si>
    <t>Returned Checks/Deposits</t>
  </si>
  <si>
    <t>DCIA Cash receipts</t>
  </si>
  <si>
    <t>x</t>
  </si>
  <si>
    <t>Netting B</t>
  </si>
  <si>
    <t xml:space="preserve">Total Cash Receipts from operations </t>
  </si>
  <si>
    <t>Cash Outlays from Operations</t>
  </si>
  <si>
    <t>Checks</t>
  </si>
  <si>
    <t>Check Kick In per Approved File</t>
  </si>
  <si>
    <t>Exceptional Payment per AP Workbook</t>
  </si>
  <si>
    <t>Reissues per Approved File</t>
  </si>
  <si>
    <t>USF Checks</t>
  </si>
  <si>
    <t>ACH Disbursed to Providers</t>
  </si>
  <si>
    <t>ACH Kick In per Approved File</t>
  </si>
  <si>
    <t>USF Disbursements - ACH</t>
  </si>
  <si>
    <t>Stopped Checks - to reissue</t>
  </si>
  <si>
    <t xml:space="preserve">Stopped Checks - stale </t>
  </si>
  <si>
    <t>Stopped Checks - not to be reissued</t>
  </si>
  <si>
    <t>Stopped Checks - stale - Prevous Month</t>
  </si>
  <si>
    <t>USF Stopped Checks/Rejected ACH - Reissue</t>
  </si>
  <si>
    <t>USF Stopped Checks - Not to be Reissued</t>
  </si>
  <si>
    <t>Returned/Rejected ACH</t>
  </si>
  <si>
    <t>ACH Reject Overstatment from Jan 2010</t>
  </si>
  <si>
    <t>Bank Fees</t>
  </si>
  <si>
    <t>Netting A</t>
  </si>
  <si>
    <t>Negative Disbursement Receipts</t>
  </si>
  <si>
    <t>Total Returned Funds</t>
  </si>
  <si>
    <t>CoMads</t>
  </si>
  <si>
    <t xml:space="preserve">Total Cash Outlays from operations </t>
  </si>
  <si>
    <t>Investment Activity</t>
  </si>
  <si>
    <t>Total Interest Received</t>
  </si>
  <si>
    <t xml:space="preserve">Bank of America Bank Gain (Loss) on sale of investment </t>
  </si>
  <si>
    <t>Purchase Interest Paid</t>
  </si>
  <si>
    <t>Opening Balance Adjustment -- Interest Received and Gain/Loss on sale of Investment</t>
  </si>
  <si>
    <t>Net Cash Received from Investments</t>
  </si>
  <si>
    <t>Ending Cash Balance</t>
  </si>
  <si>
    <t>RECONCILE ENDING CASH per Bank to 224 Report to ENDING CASH per Bank Rec</t>
  </si>
  <si>
    <t>Ending Cash Balance per Bank to 224</t>
  </si>
  <si>
    <t>Add - items in Bank Reconciliation not included in Bank to 224 report:</t>
  </si>
  <si>
    <t>Asset redemption no cash received.  Asset has been moved to accounts receivable by USAC, but remains on the bank investment balance.</t>
  </si>
  <si>
    <t>Adjusted Bank to 224 Report</t>
  </si>
  <si>
    <t>Bank Rec</t>
  </si>
  <si>
    <t>A</t>
  </si>
  <si>
    <t>The variance noted is due to the Opening Balance Adj in the Bank to 224 report.</t>
  </si>
  <si>
    <t>For the Eight Months Ending May 31, 2010</t>
  </si>
  <si>
    <t>Report generated on 06/14/10</t>
  </si>
  <si>
    <t>TB May 2010</t>
  </si>
  <si>
    <t>For the Nine Months Ending June 30, 2010</t>
  </si>
  <si>
    <t>Report generated on 07/12/10</t>
  </si>
  <si>
    <t>For the Ten Months Ending July 31, 2010</t>
  </si>
  <si>
    <t>Report generated on 08/10/10</t>
  </si>
  <si>
    <t>For the Eleven Months Ending August 31, 2010</t>
  </si>
  <si>
    <t>Report generated on 10/08/10</t>
  </si>
  <si>
    <t>For the Twelve Months Ending September 30, 2010</t>
  </si>
  <si>
    <t>Report generated on 10/11/10</t>
  </si>
  <si>
    <t>For the Month Ending October 31, 2010</t>
  </si>
  <si>
    <t>Report generated on 11/22/10</t>
  </si>
  <si>
    <t>For the Two Months Ending November 30, 2010</t>
  </si>
  <si>
    <t>Report generated on 12/23/10</t>
  </si>
  <si>
    <t>% of total support disbursed</t>
  </si>
  <si>
    <t>Cash YTD</t>
  </si>
  <si>
    <t>Misc. Receipts</t>
  </si>
  <si>
    <t>Refunds</t>
  </si>
  <si>
    <t>Interest Received</t>
  </si>
  <si>
    <t>Administrative Disb.</t>
  </si>
  <si>
    <t>Receipts on billings</t>
  </si>
  <si>
    <t>Cash at 12/31/10</t>
  </si>
  <si>
    <t>Cash at 9/30/10</t>
  </si>
  <si>
    <t>Cash at 6/30/10</t>
  </si>
  <si>
    <t>Cash at 3/31/10</t>
  </si>
  <si>
    <t>Cash at 12/31/09</t>
  </si>
  <si>
    <t>Support Mechanism</t>
  </si>
  <si>
    <t>Broadband</t>
  </si>
  <si>
    <t>Rural Health Care</t>
  </si>
  <si>
    <t>Low Income</t>
  </si>
  <si>
    <t>High Cost</t>
  </si>
  <si>
    <t>Schools and Libraries</t>
  </si>
  <si>
    <t>FUND BALANCE - CASH BASIS</t>
  </si>
  <si>
    <t>UNIVERSAL SERVICE FUND ACTIVITY</t>
  </si>
  <si>
    <t>For the Three Months Ending December 31, 2010</t>
  </si>
  <si>
    <t>Report generated on 01/06/11</t>
  </si>
  <si>
    <t>Report generated on 01/07/11</t>
  </si>
  <si>
    <t>Future Funded Expenses</t>
  </si>
  <si>
    <t>For the Seven Months Ending April 30, 2011</t>
  </si>
  <si>
    <t>Report generated on 05/17/11</t>
  </si>
  <si>
    <t>499 Revenue Accrual - SLD</t>
  </si>
  <si>
    <t>590004-20</t>
  </si>
  <si>
    <t>499 Revenue Accrual - HC</t>
  </si>
  <si>
    <t>590004-30</t>
  </si>
  <si>
    <t>499 Revenue Accrual - LI</t>
  </si>
  <si>
    <t>590004-40</t>
  </si>
  <si>
    <t>499 Revenue Accrual - RHC</t>
  </si>
  <si>
    <t>590004-50</t>
  </si>
  <si>
    <t>Total 499 Revenue Accrual</t>
  </si>
  <si>
    <t>Future Funded Expense - SLD</t>
  </si>
  <si>
    <t>680000-20</t>
  </si>
  <si>
    <t>Future Funded Expense - HC</t>
  </si>
  <si>
    <t>680000-30</t>
  </si>
  <si>
    <t>Future Funded Expense - LI</t>
  </si>
  <si>
    <t>680000-40</t>
  </si>
  <si>
    <t>Future Funded Expense - RHC</t>
  </si>
  <si>
    <t>680000-50</t>
  </si>
  <si>
    <t>Total Future Funded Expense</t>
  </si>
  <si>
    <t>For the Eight Months Ending May 31, 2011</t>
  </si>
  <si>
    <t>Report generated on 06/28/11</t>
  </si>
  <si>
    <t>For the Nine Months Ending June 30, 2011</t>
  </si>
  <si>
    <t>Report generated on 07/11/11</t>
  </si>
  <si>
    <t>Revenue Accrual</t>
  </si>
  <si>
    <t>Bad Debt expense (COMAD)</t>
  </si>
  <si>
    <t>TOTAL AMT Disbursed</t>
  </si>
  <si>
    <t>Adjustment</t>
  </si>
  <si>
    <t>HC Broadband</t>
  </si>
  <si>
    <t>Inter-Program Transfers</t>
  </si>
  <si>
    <t>For the Four Months Ending January 31, 2012</t>
  </si>
  <si>
    <t>Report generated on 02/07/12</t>
  </si>
  <si>
    <t>67200020 +(67200120) +(59090020)</t>
  </si>
  <si>
    <t>67200030 +(67200130) +(59090030)</t>
  </si>
  <si>
    <t>67200040 +(67200140) +(59090040)</t>
  </si>
  <si>
    <t>67200050 +(67200150) +(59090050)</t>
  </si>
  <si>
    <t>Bad Debt Expense COMAD - SLD</t>
  </si>
  <si>
    <t>672000-25</t>
  </si>
  <si>
    <t>Bad Debt Expense COMAD - RHC</t>
  </si>
  <si>
    <t>672000-55</t>
  </si>
  <si>
    <t>For the Five Months Ending February 29, 2012</t>
  </si>
  <si>
    <t>Report generated on 03/08/12</t>
  </si>
  <si>
    <t>For the Six Months Ending March 31, 2012</t>
  </si>
  <si>
    <t>Report generated on 04/05/12</t>
  </si>
  <si>
    <t>For the Seven Months Ending April 30, 2012</t>
  </si>
  <si>
    <t>Report generated on 05/21/12</t>
  </si>
  <si>
    <t>For the Eight Months Ending May 31, 2012</t>
  </si>
  <si>
    <t>Report generated on 06/11/12</t>
  </si>
  <si>
    <t>For the Nine Months Ending June 30, 2012</t>
  </si>
  <si>
    <t>Report generated on 07/09/12</t>
  </si>
  <si>
    <t>For the Ten Months Ending July 31, 2012</t>
  </si>
  <si>
    <t>For the Eleven Months Ending August 31, 2012</t>
  </si>
  <si>
    <t>Report generated on 10/05/12</t>
  </si>
  <si>
    <t>For the Twelve Months Ending September 30, 2012</t>
  </si>
  <si>
    <t>For the Month Ending October 31, 2012</t>
  </si>
  <si>
    <t>Report generated on 12/26/12</t>
  </si>
  <si>
    <t>For the Two Months Ending November 30, 2012</t>
  </si>
  <si>
    <t>Report generated on 12/07/12</t>
  </si>
  <si>
    <t>For the Three Months Ending December 31, 2012</t>
  </si>
  <si>
    <t>Report generated on 01/08/13</t>
  </si>
  <si>
    <t>For the Four Months Ending January 31, 2013</t>
  </si>
  <si>
    <t>FRx Catalog ID: M04 Fund Bal QTR</t>
  </si>
  <si>
    <t>For the Five Months Ending February 28, 2013</t>
  </si>
  <si>
    <t>Report generated on 03/26/13</t>
  </si>
  <si>
    <t>For the Six Months Ending March 31, 2013</t>
  </si>
  <si>
    <t>Report generated on 04/04/13</t>
  </si>
  <si>
    <t>Report generated on 04/05/13</t>
  </si>
  <si>
    <t>For the Seven Months Ending April 30, 2013</t>
  </si>
  <si>
    <t>Report generated on 05/31/13</t>
  </si>
  <si>
    <t>For the Eight Months Ending May 31, 2013</t>
  </si>
  <si>
    <t>61000120 +(61000320) +(61000420)</t>
  </si>
  <si>
    <t>61000130 +(61000330) +(61000430)</t>
  </si>
  <si>
    <t>61000140 +(61000340) +(61000440)</t>
  </si>
  <si>
    <t>61000150 +(61000350) +(61000450)</t>
  </si>
  <si>
    <t>For the Nine Months Ending June 30, 2013</t>
  </si>
  <si>
    <t>Report generated on 07/05/13</t>
  </si>
  <si>
    <t>Report generated on 07/07/13</t>
  </si>
  <si>
    <t>53100020 +(53110220)+</t>
  </si>
  <si>
    <t>For the Ten Months Ending July 31, 2013</t>
  </si>
  <si>
    <t>53100020 +(53110220) +(7111...</t>
  </si>
  <si>
    <t>53100030 +(53110230) +(7111...</t>
  </si>
  <si>
    <t>53100040 +(53110240) +(7111...</t>
  </si>
  <si>
    <t>53100050 +(53110250) +(7111...</t>
  </si>
  <si>
    <t>For the Eleven Months Ending August 31, 2013</t>
  </si>
  <si>
    <t>Report generated on 09/26/13</t>
  </si>
  <si>
    <t>Report generated on 10/02/13</t>
  </si>
  <si>
    <t>For the Twelve Months Ending September 30, 2013</t>
  </si>
  <si>
    <t>Report generated on 10/09/13</t>
  </si>
  <si>
    <t>For the Month Ending October 31, 2013</t>
  </si>
  <si>
    <t>Report generated on 01/06/14</t>
  </si>
  <si>
    <t>For the Two Months Ending November 30, 2013</t>
  </si>
  <si>
    <t>For the Three Months Ending December 31, 2013</t>
  </si>
  <si>
    <t>Report generated on 01/10/14</t>
  </si>
  <si>
    <t>For the Four Months Ending January 31, 2014</t>
  </si>
  <si>
    <t>Report generated on 03/04/14</t>
  </si>
  <si>
    <t>For the Five Months Ending February 28, 2014</t>
  </si>
  <si>
    <t>Report generated on 03/25/14</t>
  </si>
  <si>
    <t>Fund Balance 12/31/14</t>
  </si>
  <si>
    <t>For the Six Months Ending March 31, 2014</t>
  </si>
  <si>
    <t>Report generated on 04/06/14</t>
  </si>
  <si>
    <t>For the Seven Months Ending April 30, 2014</t>
  </si>
  <si>
    <t>Report generated on 05/15/14</t>
  </si>
  <si>
    <t>For the Eight Months Ending May 31, 2014</t>
  </si>
  <si>
    <t>Report generated on 06/18/14</t>
  </si>
  <si>
    <t>For the Nine Months Ending June 30, 2014</t>
  </si>
  <si>
    <t>Report generated on 07/07/14</t>
  </si>
  <si>
    <t>For the Ten Months Ending July 31, 2014</t>
  </si>
  <si>
    <t>Report generated on 09/09/14</t>
  </si>
  <si>
    <t>For the Eleven Months Ending August 31, 2014</t>
  </si>
  <si>
    <t>For the Twelve Months Ending September 30, 2014</t>
  </si>
  <si>
    <t>Report generated on 10/07/14</t>
  </si>
  <si>
    <t>For the Month Ending October 31, 2014</t>
  </si>
  <si>
    <t>Report generated on 11/16/14</t>
  </si>
  <si>
    <t>For the Two Months Ending November 30, 2014</t>
  </si>
  <si>
    <t>Report generated on 12/17/14</t>
  </si>
  <si>
    <t>For the Three Months Ending December 31, 2014</t>
  </si>
  <si>
    <t>Report generated on 01/08/15</t>
  </si>
  <si>
    <t>First Q 2015 Activity:</t>
  </si>
  <si>
    <t>Fund Balance 3/31/15</t>
  </si>
  <si>
    <t>Second Q 2015 Activity:</t>
  </si>
  <si>
    <t>Fund Balance 6/30/15</t>
  </si>
  <si>
    <t>Third Q 2015 Activity:</t>
  </si>
  <si>
    <t>Fund Balance 9/30/15</t>
  </si>
  <si>
    <t>Fourth Q 2015 Activity:</t>
  </si>
  <si>
    <t>Fund Balance 12/31/15</t>
  </si>
  <si>
    <t>Year to Date 2015 Activity:</t>
  </si>
  <si>
    <t>Depreciation/Depletion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</si>
</sst>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%_);\(0%\)"/>
    <numFmt numFmtId="166" formatCode="0.00000"/>
    <numFmt numFmtId="167" formatCode="#,###,##0.00;\(#,###,##0.00\)"/>
    <numFmt numFmtId="168" formatCode="&quot;$&quot;#,###,##0.00;\(&quot;$&quot;#,###,##0.00\)"/>
    <numFmt numFmtId="169" formatCode="&quot;$&quot;#,##0.00"/>
    <numFmt numFmtId="170" formatCode="#,##0.0000000_);\(#,##0.0000000\)"/>
    <numFmt numFmtId="171" formatCode="#,##0.0000"/>
    <numFmt numFmtId="172" formatCode="0.0000"/>
    <numFmt numFmtId="173" formatCode="#,##0.00%;\(#,##0.00%\)"/>
  </numFmts>
  <fonts count="7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19"/>
      <name val="Arial"/>
      <family val="2"/>
    </font>
    <font>
      <b/>
      <i/>
      <sz val="10"/>
      <color indexed="8"/>
      <name val="Times New Roman"/>
      <family val="1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b/>
      <u/>
      <sz val="10"/>
      <color indexed="8"/>
      <name val="Arial"/>
      <family val="2"/>
    </font>
    <font>
      <i/>
      <sz val="1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8.85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9">
    <xf numFmtId="0" fontId="0" fillId="0" borderId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34" fillId="0" borderId="0"/>
    <xf numFmtId="167" fontId="49" fillId="0" borderId="0"/>
    <xf numFmtId="167" fontId="51" fillId="0" borderId="0"/>
    <xf numFmtId="167" fontId="53" fillId="0" borderId="0"/>
    <xf numFmtId="167" fontId="54" fillId="0" borderId="0"/>
    <xf numFmtId="167" fontId="56" fillId="0" borderId="0"/>
    <xf numFmtId="167" fontId="59" fillId="0" borderId="0"/>
    <xf numFmtId="167" fontId="60" fillId="0" borderId="0"/>
    <xf numFmtId="167" fontId="35" fillId="0" borderId="0"/>
    <xf numFmtId="167" fontId="39" fillId="0" borderId="0"/>
    <xf numFmtId="167" fontId="41" fillId="0" borderId="0"/>
    <xf numFmtId="167" fontId="42" fillId="0" borderId="0"/>
    <xf numFmtId="167" fontId="44" fillId="0" borderId="0"/>
    <xf numFmtId="167" fontId="45" fillId="0" borderId="0"/>
    <xf numFmtId="167" fontId="46" fillId="0" borderId="0"/>
    <xf numFmtId="167" fontId="47" fillId="0" borderId="0"/>
    <xf numFmtId="168" fontId="34" fillId="0" borderId="0"/>
    <xf numFmtId="173" fontId="34" fillId="0" borderId="0"/>
    <xf numFmtId="14" fontId="4" fillId="5" borderId="1">
      <alignment horizontal="center" vertical="center" wrapText="1"/>
    </xf>
    <xf numFmtId="0" fontId="5" fillId="0" borderId="0"/>
    <xf numFmtId="0" fontId="5" fillId="0" borderId="0"/>
    <xf numFmtId="0" fontId="46" fillId="0" borderId="0"/>
    <xf numFmtId="0" fontId="47" fillId="0" borderId="0"/>
    <xf numFmtId="0" fontId="49" fillId="0" borderId="0"/>
    <xf numFmtId="0" fontId="51" fillId="0" borderId="0"/>
    <xf numFmtId="0" fontId="53" fillId="0" borderId="0"/>
    <xf numFmtId="0" fontId="54" fillId="0" borderId="0"/>
    <xf numFmtId="0" fontId="56" fillId="0" borderId="0"/>
    <xf numFmtId="0" fontId="59" fillId="0" borderId="0"/>
    <xf numFmtId="0" fontId="60" fillId="0" borderId="0"/>
    <xf numFmtId="0" fontId="5" fillId="0" borderId="0"/>
    <xf numFmtId="0" fontId="34" fillId="0" borderId="0"/>
    <xf numFmtId="0" fontId="35" fillId="0" borderId="0"/>
    <xf numFmtId="0" fontId="39" fillId="0" borderId="0"/>
    <xf numFmtId="0" fontId="41" fillId="0" borderId="0"/>
    <xf numFmtId="0" fontId="42" fillId="0" borderId="0"/>
    <xf numFmtId="0" fontId="44" fillId="0" borderId="0"/>
    <xf numFmtId="0" fontId="45" fillId="0" borderId="0"/>
    <xf numFmtId="0" fontId="5" fillId="0" borderId="0"/>
    <xf numFmtId="0" fontId="64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Border="0" applyAlignment="0"/>
    <xf numFmtId="0" fontId="3" fillId="0" borderId="0" applyNumberFormat="0" applyBorder="0" applyAlignment="0"/>
    <xf numFmtId="0" fontId="34" fillId="0" borderId="0"/>
    <xf numFmtId="0" fontId="65" fillId="0" borderId="0" applyNumberFormat="0" applyBorder="0" applyAlignment="0"/>
    <xf numFmtId="0" fontId="12" fillId="0" borderId="0" applyNumberFormat="0" applyBorder="0" applyAlignment="0"/>
    <xf numFmtId="0" fontId="22" fillId="0" borderId="0" applyNumberFormat="0" applyBorder="0" applyAlignment="0"/>
    <xf numFmtId="0" fontId="33" fillId="0" borderId="0"/>
    <xf numFmtId="0" fontId="66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22" fillId="0" borderId="0" applyNumberFormat="0" applyBorder="0" applyAlignment="0"/>
    <xf numFmtId="0" fontId="13" fillId="0" borderId="0" applyNumberFormat="0" applyBorder="0" applyAlignment="0"/>
    <xf numFmtId="0" fontId="22" fillId="3" borderId="0" applyNumberFormat="0" applyBorder="0" applyAlignment="0"/>
    <xf numFmtId="0" fontId="33" fillId="6" borderId="0"/>
    <xf numFmtId="0" fontId="66" fillId="14" borderId="0" applyNumberFormat="0" applyBorder="0" applyAlignment="0"/>
    <xf numFmtId="0" fontId="22" fillId="3" borderId="0" applyNumberFormat="0" applyBorder="0" applyAlignment="0"/>
    <xf numFmtId="0" fontId="22" fillId="3" borderId="0" applyNumberFormat="0" applyBorder="0" applyAlignment="0"/>
    <xf numFmtId="0" fontId="22" fillId="3" borderId="0" applyNumberFormat="0" applyBorder="0" applyAlignment="0"/>
    <xf numFmtId="0" fontId="14" fillId="0" borderId="0" applyNumberFormat="0" applyBorder="0" applyAlignment="0"/>
    <xf numFmtId="0" fontId="11" fillId="0" borderId="0" applyNumberFormat="0" applyBorder="0" applyAlignment="0"/>
    <xf numFmtId="0" fontId="3" fillId="0" borderId="0" applyNumberFormat="0" applyBorder="0" applyAlignment="0"/>
    <xf numFmtId="0" fontId="33" fillId="0" borderId="0"/>
    <xf numFmtId="0" fontId="65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1" fillId="0" borderId="0" applyNumberFormat="0" applyBorder="0" applyAlignment="0"/>
    <xf numFmtId="0" fontId="15" fillId="4" borderId="0" applyNumberFormat="0" applyBorder="0" applyAlignment="0"/>
    <xf numFmtId="0" fontId="17" fillId="0" borderId="0" applyNumberFormat="0" applyBorder="0" applyAlignment="0"/>
    <xf numFmtId="0" fontId="6" fillId="0" borderId="0" applyFill="0" applyBorder="0" applyProtection="0">
      <alignment horizontal="left" vertical="top"/>
    </xf>
    <xf numFmtId="0" fontId="75" fillId="0" borderId="0" applyAlignment="0"/>
  </cellStyleXfs>
  <cellXfs count="606">
    <xf numFmtId="0" fontId="0" fillId="0" borderId="0" xfId="0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39" fontId="5" fillId="0" borderId="2" xfId="7" applyFont="1" applyBorder="1" applyAlignment="1">
      <alignment horizontal="center"/>
    </xf>
    <xf numFmtId="39" fontId="5" fillId="0" borderId="2" xfId="7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/>
    <xf numFmtId="0" fontId="9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Fill="1" applyAlignment="1">
      <alignment horizontal="left"/>
    </xf>
    <xf numFmtId="39" fontId="4" fillId="0" borderId="3" xfId="7" applyFont="1" applyBorder="1"/>
    <xf numFmtId="39" fontId="5" fillId="0" borderId="0" xfId="7" applyFont="1"/>
    <xf numFmtId="39" fontId="5" fillId="0" borderId="0" xfId="7" applyFont="1" applyBorder="1"/>
    <xf numFmtId="0" fontId="10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4" xfId="0" applyNumberFormat="1" applyFont="1" applyBorder="1"/>
    <xf numFmtId="39" fontId="4" fillId="0" borderId="4" xfId="7" applyFont="1" applyBorder="1"/>
    <xf numFmtId="39" fontId="4" fillId="0" borderId="0" xfId="7" applyFont="1"/>
    <xf numFmtId="0" fontId="4" fillId="0" borderId="0" xfId="0" applyFont="1"/>
    <xf numFmtId="39" fontId="5" fillId="0" borderId="2" xfId="7" applyFont="1" applyBorder="1"/>
    <xf numFmtId="0" fontId="5" fillId="0" borderId="2" xfId="0" applyFont="1" applyBorder="1"/>
    <xf numFmtId="39" fontId="5" fillId="0" borderId="0" xfId="0" applyNumberFormat="1" applyFont="1"/>
    <xf numFmtId="39" fontId="5" fillId="0" borderId="0" xfId="7" applyFont="1" applyFill="1"/>
    <xf numFmtId="39" fontId="5" fillId="0" borderId="0" xfId="0" applyNumberFormat="1" applyFont="1" applyFill="1"/>
    <xf numFmtId="39" fontId="5" fillId="0" borderId="0" xfId="7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Border="1"/>
    <xf numFmtId="39" fontId="8" fillId="0" borderId="0" xfId="7" applyFont="1"/>
    <xf numFmtId="0" fontId="0" fillId="0" borderId="0" xfId="0" applyFill="1"/>
    <xf numFmtId="0" fontId="4" fillId="0" borderId="0" xfId="0" applyFont="1" applyFill="1"/>
    <xf numFmtId="39" fontId="1" fillId="0" borderId="0" xfId="7" applyFill="1"/>
    <xf numFmtId="39" fontId="4" fillId="0" borderId="0" xfId="7" applyFont="1" applyBorder="1"/>
    <xf numFmtId="8" fontId="5" fillId="0" borderId="0" xfId="0" applyNumberFormat="1" applyFont="1"/>
    <xf numFmtId="43" fontId="4" fillId="0" borderId="4" xfId="0" applyNumberFormat="1" applyFont="1" applyFill="1" applyBorder="1"/>
    <xf numFmtId="39" fontId="5" fillId="0" borderId="2" xfId="7" applyFont="1" applyFill="1" applyBorder="1"/>
    <xf numFmtId="8" fontId="16" fillId="0" borderId="0" xfId="0" applyNumberFormat="1" applyFont="1" applyFill="1"/>
    <xf numFmtId="8" fontId="5" fillId="0" borderId="0" xfId="0" applyNumberFormat="1" applyFont="1" applyAlignment="1">
      <alignment horizontal="center" wrapText="1"/>
    </xf>
    <xf numFmtId="39" fontId="5" fillId="7" borderId="0" xfId="7" applyFont="1" applyFill="1" applyBorder="1"/>
    <xf numFmtId="39" fontId="5" fillId="7" borderId="0" xfId="7" applyFont="1" applyFill="1"/>
    <xf numFmtId="0" fontId="4" fillId="7" borderId="0" xfId="0" applyFont="1" applyFill="1"/>
    <xf numFmtId="0" fontId="4" fillId="8" borderId="0" xfId="0" applyFont="1" applyFill="1"/>
    <xf numFmtId="39" fontId="5" fillId="8" borderId="0" xfId="7" applyFont="1" applyFill="1"/>
    <xf numFmtId="39" fontId="5" fillId="8" borderId="0" xfId="7" applyFont="1" applyFill="1" applyBorder="1"/>
    <xf numFmtId="167" fontId="11" fillId="0" borderId="0" xfId="59" applyNumberFormat="1"/>
    <xf numFmtId="39" fontId="8" fillId="0" borderId="0" xfId="0" applyNumberFormat="1" applyFont="1"/>
    <xf numFmtId="0" fontId="11" fillId="0" borderId="0" xfId="59" quotePrefix="1" applyNumberFormat="1" applyAlignment="1">
      <alignment horizontal="centerContinuous"/>
    </xf>
    <xf numFmtId="0" fontId="11" fillId="0" borderId="0" xfId="59" applyNumberFormat="1" applyAlignment="1">
      <alignment horizontal="centerContinuous"/>
    </xf>
    <xf numFmtId="0" fontId="11" fillId="0" borderId="0" xfId="59" applyNumberFormat="1"/>
    <xf numFmtId="0" fontId="11" fillId="0" borderId="0" xfId="59" quotePrefix="1" applyAlignment="1">
      <alignment horizontal="left"/>
    </xf>
    <xf numFmtId="168" fontId="11" fillId="0" borderId="0" xfId="59" applyNumberFormat="1"/>
    <xf numFmtId="39" fontId="4" fillId="0" borderId="0" xfId="0" applyNumberFormat="1" applyFont="1"/>
    <xf numFmtId="0" fontId="5" fillId="7" borderId="0" xfId="0" applyFont="1" applyFill="1"/>
    <xf numFmtId="0" fontId="18" fillId="0" borderId="0" xfId="0" applyFont="1" applyFill="1"/>
    <xf numFmtId="39" fontId="19" fillId="0" borderId="0" xfId="7" applyFont="1" applyBorder="1"/>
    <xf numFmtId="39" fontId="19" fillId="0" borderId="0" xfId="7" applyFont="1" applyFill="1" applyBorder="1"/>
    <xf numFmtId="39" fontId="19" fillId="0" borderId="0" xfId="7" applyFont="1"/>
    <xf numFmtId="0" fontId="19" fillId="0" borderId="0" xfId="0" applyFont="1"/>
    <xf numFmtId="39" fontId="19" fillId="0" borderId="0" xfId="0" applyNumberFormat="1" applyFont="1"/>
    <xf numFmtId="43" fontId="4" fillId="0" borderId="0" xfId="0" applyNumberFormat="1" applyFont="1" applyBorder="1"/>
    <xf numFmtId="4" fontId="5" fillId="0" borderId="0" xfId="0" applyNumberFormat="1" applyFont="1"/>
    <xf numFmtId="3" fontId="5" fillId="0" borderId="0" xfId="0" applyNumberFormat="1" applyFont="1"/>
    <xf numFmtId="39" fontId="5" fillId="0" borderId="0" xfId="7" applyNumberFormat="1" applyFont="1"/>
    <xf numFmtId="39" fontId="5" fillId="0" borderId="0" xfId="7" applyFont="1" applyBorder="1" applyAlignment="1">
      <alignment horizontal="center" wrapText="1"/>
    </xf>
    <xf numFmtId="7" fontId="5" fillId="0" borderId="0" xfId="0" applyNumberFormat="1" applyFont="1"/>
    <xf numFmtId="7" fontId="4" fillId="0" borderId="0" xfId="0" applyNumberFormat="1" applyFont="1"/>
    <xf numFmtId="43" fontId="4" fillId="0" borderId="0" xfId="0" applyNumberFormat="1" applyFont="1" applyFill="1" applyBorder="1"/>
    <xf numFmtId="39" fontId="1" fillId="0" borderId="0" xfId="7" applyFill="1" applyBorder="1"/>
    <xf numFmtId="0" fontId="11" fillId="0" borderId="2" xfId="59" quotePrefix="1" applyNumberFormat="1" applyBorder="1" applyAlignment="1">
      <alignment horizontal="center"/>
    </xf>
    <xf numFmtId="169" fontId="5" fillId="0" borderId="0" xfId="0" applyNumberFormat="1" applyFont="1"/>
    <xf numFmtId="4" fontId="5" fillId="0" borderId="0" xfId="7" applyNumberFormat="1" applyFont="1"/>
    <xf numFmtId="44" fontId="5" fillId="0" borderId="0" xfId="9" applyFont="1"/>
    <xf numFmtId="8" fontId="5" fillId="0" borderId="0" xfId="0" applyNumberFormat="1" applyFont="1" applyFill="1"/>
    <xf numFmtId="39" fontId="4" fillId="0" borderId="0" xfId="7" applyFont="1" applyFill="1" applyBorder="1"/>
    <xf numFmtId="39" fontId="4" fillId="0" borderId="0" xfId="7" applyFont="1" applyFill="1"/>
    <xf numFmtId="43" fontId="5" fillId="0" borderId="0" xfId="0" applyNumberFormat="1" applyFont="1"/>
    <xf numFmtId="0" fontId="11" fillId="0" borderId="0" xfId="59" applyNumberFormat="1" applyFont="1" applyAlignment="1">
      <alignment horizontal="centerContinuous"/>
    </xf>
    <xf numFmtId="167" fontId="12" fillId="0" borderId="0" xfId="63" applyNumberFormat="1"/>
    <xf numFmtId="4" fontId="23" fillId="0" borderId="0" xfId="0" applyNumberFormat="1" applyFont="1"/>
    <xf numFmtId="39" fontId="4" fillId="0" borderId="5" xfId="7" applyFont="1" applyFill="1" applyBorder="1"/>
    <xf numFmtId="43" fontId="4" fillId="9" borderId="4" xfId="0" applyNumberFormat="1" applyFont="1" applyFill="1" applyBorder="1"/>
    <xf numFmtId="43" fontId="4" fillId="10" borderId="4" xfId="0" applyNumberFormat="1" applyFont="1" applyFill="1" applyBorder="1"/>
    <xf numFmtId="39" fontId="1" fillId="0" borderId="0" xfId="7" applyNumberFormat="1" applyFill="1"/>
    <xf numFmtId="0" fontId="24" fillId="0" borderId="0" xfId="0" applyFont="1" applyFill="1" applyAlignment="1">
      <alignment horizontal="center"/>
    </xf>
    <xf numFmtId="167" fontId="11" fillId="0" borderId="0" xfId="59" applyNumberFormat="1" applyFont="1"/>
    <xf numFmtId="0" fontId="5" fillId="0" borderId="0" xfId="0" applyFont="1" applyAlignment="1">
      <alignment horizontal="center"/>
    </xf>
    <xf numFmtId="0" fontId="22" fillId="0" borderId="0" xfId="69" quotePrefix="1" applyNumberFormat="1" applyAlignment="1">
      <alignment horizontal="centerContinuous"/>
    </xf>
    <xf numFmtId="0" fontId="22" fillId="0" borderId="0" xfId="69" applyNumberFormat="1" applyAlignment="1">
      <alignment horizontal="centerContinuous"/>
    </xf>
    <xf numFmtId="0" fontId="22" fillId="3" borderId="0" xfId="76" quotePrefix="1" applyNumberFormat="1" applyAlignment="1">
      <alignment horizontal="centerContinuous"/>
    </xf>
    <xf numFmtId="0" fontId="22" fillId="3" borderId="0" xfId="76" applyNumberFormat="1" applyAlignment="1">
      <alignment horizontal="centerContinuous"/>
    </xf>
    <xf numFmtId="0" fontId="11" fillId="0" borderId="0" xfId="84" quotePrefix="1" applyNumberFormat="1" applyAlignment="1">
      <alignment horizontal="centerContinuous"/>
    </xf>
    <xf numFmtId="0" fontId="11" fillId="0" borderId="0" xfId="84" applyNumberFormat="1" applyAlignment="1">
      <alignment horizontal="centerContinuous"/>
    </xf>
    <xf numFmtId="0" fontId="11" fillId="0" borderId="0" xfId="59"/>
    <xf numFmtId="0" fontId="22" fillId="0" borderId="0" xfId="69" quotePrefix="1" applyAlignment="1">
      <alignment horizontal="left"/>
    </xf>
    <xf numFmtId="0" fontId="22" fillId="0" borderId="0" xfId="69"/>
    <xf numFmtId="43" fontId="5" fillId="0" borderId="0" xfId="1" applyFont="1"/>
    <xf numFmtId="0" fontId="22" fillId="0" borderId="0" xfId="69" applyNumberFormat="1" applyFont="1" applyAlignment="1">
      <alignment horizontal="centerContinuous"/>
    </xf>
    <xf numFmtId="0" fontId="22" fillId="3" borderId="0" xfId="76" applyNumberFormat="1" applyFont="1" applyAlignment="1">
      <alignment horizontal="centerContinuous"/>
    </xf>
    <xf numFmtId="0" fontId="11" fillId="0" borderId="0" xfId="84" applyNumberFormat="1" applyFont="1" applyAlignment="1">
      <alignment horizontal="centerContinuous"/>
    </xf>
    <xf numFmtId="0" fontId="11" fillId="0" borderId="0" xfId="59" applyNumberFormat="1" applyFont="1"/>
    <xf numFmtId="0" fontId="11" fillId="0" borderId="2" xfId="59" quotePrefix="1" applyNumberFormat="1" applyFont="1" applyBorder="1" applyAlignment="1">
      <alignment horizontal="center"/>
    </xf>
    <xf numFmtId="168" fontId="11" fillId="0" borderId="0" xfId="59" applyNumberFormat="1" applyFont="1"/>
    <xf numFmtId="167" fontId="25" fillId="0" borderId="0" xfId="63" applyNumberFormat="1" applyFont="1"/>
    <xf numFmtId="0" fontId="11" fillId="11" borderId="0" xfId="59" quotePrefix="1" applyFill="1" applyAlignment="1">
      <alignment horizontal="left"/>
    </xf>
    <xf numFmtId="167" fontId="11" fillId="11" borderId="0" xfId="59" applyNumberFormat="1" applyFill="1"/>
    <xf numFmtId="0" fontId="22" fillId="11" borderId="0" xfId="69" quotePrefix="1" applyFill="1" applyAlignment="1">
      <alignment horizontal="left"/>
    </xf>
    <xf numFmtId="0" fontId="22" fillId="11" borderId="0" xfId="69" applyFill="1"/>
    <xf numFmtId="167" fontId="22" fillId="11" borderId="0" xfId="69" applyNumberFormat="1" applyFill="1"/>
    <xf numFmtId="39" fontId="5" fillId="11" borderId="0" xfId="7" applyFont="1" applyFill="1" applyBorder="1"/>
    <xf numFmtId="39" fontId="4" fillId="11" borderId="0" xfId="7" applyFont="1" applyFill="1" applyBorder="1"/>
    <xf numFmtId="39" fontId="5" fillId="11" borderId="0" xfId="7" applyNumberFormat="1" applyFont="1" applyFill="1"/>
    <xf numFmtId="0" fontId="22" fillId="0" borderId="0" xfId="68" quotePrefix="1" applyNumberFormat="1" applyAlignment="1">
      <alignment horizontal="centerContinuous"/>
    </xf>
    <xf numFmtId="0" fontId="22" fillId="0" borderId="0" xfId="68" applyNumberFormat="1" applyAlignment="1">
      <alignment horizontal="centerContinuous"/>
    </xf>
    <xf numFmtId="0" fontId="22" fillId="3" borderId="0" xfId="75" quotePrefix="1" applyNumberFormat="1" applyAlignment="1">
      <alignment horizontal="centerContinuous"/>
    </xf>
    <xf numFmtId="0" fontId="22" fillId="3" borderId="0" xfId="75" applyNumberFormat="1" applyAlignment="1">
      <alignment horizontal="centerContinuous"/>
    </xf>
    <xf numFmtId="0" fontId="11" fillId="0" borderId="0" xfId="83" quotePrefix="1" applyNumberFormat="1" applyAlignment="1">
      <alignment horizontal="centerContinuous"/>
    </xf>
    <xf numFmtId="0" fontId="11" fillId="0" borderId="0" xfId="83" applyNumberFormat="1" applyAlignment="1">
      <alignment horizontal="centerContinuous"/>
    </xf>
    <xf numFmtId="0" fontId="22" fillId="0" borderId="0" xfId="68" quotePrefix="1" applyAlignment="1">
      <alignment horizontal="left"/>
    </xf>
    <xf numFmtId="0" fontId="22" fillId="0" borderId="0" xfId="68"/>
    <xf numFmtId="167" fontId="22" fillId="0" borderId="0" xfId="68" applyNumberFormat="1"/>
    <xf numFmtId="39" fontId="4" fillId="12" borderId="0" xfId="7" applyFont="1" applyFill="1" applyBorder="1"/>
    <xf numFmtId="0" fontId="5" fillId="12" borderId="0" xfId="0" applyFont="1" applyFill="1"/>
    <xf numFmtId="39" fontId="5" fillId="12" borderId="0" xfId="7" applyFont="1" applyFill="1"/>
    <xf numFmtId="39" fontId="5" fillId="12" borderId="0" xfId="7" applyFont="1" applyFill="1" applyBorder="1"/>
    <xf numFmtId="8" fontId="5" fillId="12" borderId="0" xfId="0" applyNumberFormat="1" applyFont="1" applyFill="1"/>
    <xf numFmtId="167" fontId="11" fillId="12" borderId="0" xfId="59" applyNumberFormat="1" applyFill="1"/>
    <xf numFmtId="39" fontId="5" fillId="12" borderId="0" xfId="0" applyNumberFormat="1" applyFont="1" applyFill="1"/>
    <xf numFmtId="39" fontId="5" fillId="12" borderId="0" xfId="7" applyNumberFormat="1" applyFont="1" applyFill="1"/>
    <xf numFmtId="0" fontId="22" fillId="0" borderId="0" xfId="67" quotePrefix="1" applyNumberFormat="1" applyAlignment="1">
      <alignment horizontal="centerContinuous"/>
    </xf>
    <xf numFmtId="0" fontId="22" fillId="0" borderId="0" xfId="67" applyNumberFormat="1" applyAlignment="1">
      <alignment horizontal="centerContinuous"/>
    </xf>
    <xf numFmtId="0" fontId="22" fillId="3" borderId="0" xfId="74" quotePrefix="1" applyNumberFormat="1" applyAlignment="1">
      <alignment horizontal="centerContinuous"/>
    </xf>
    <xf numFmtId="0" fontId="22" fillId="3" borderId="0" xfId="74" applyNumberFormat="1" applyAlignment="1">
      <alignment horizontal="centerContinuous"/>
    </xf>
    <xf numFmtId="0" fontId="11" fillId="0" borderId="0" xfId="82" quotePrefix="1" applyNumberFormat="1" applyAlignment="1">
      <alignment horizontal="centerContinuous"/>
    </xf>
    <xf numFmtId="0" fontId="11" fillId="0" borderId="0" xfId="82" applyNumberFormat="1" applyAlignment="1">
      <alignment horizontal="centerContinuous"/>
    </xf>
    <xf numFmtId="0" fontId="22" fillId="0" borderId="0" xfId="67" quotePrefix="1" applyAlignment="1">
      <alignment horizontal="left"/>
    </xf>
    <xf numFmtId="0" fontId="22" fillId="0" borderId="0" xfId="67"/>
    <xf numFmtId="167" fontId="22" fillId="0" borderId="0" xfId="67" applyNumberFormat="1"/>
    <xf numFmtId="7" fontId="5" fillId="0" borderId="0" xfId="0" applyNumberFormat="1" applyFont="1" applyFill="1"/>
    <xf numFmtId="39" fontId="5" fillId="13" borderId="0" xfId="7" applyFont="1" applyFill="1" applyBorder="1"/>
    <xf numFmtId="39" fontId="5" fillId="13" borderId="0" xfId="7" applyFont="1" applyFill="1"/>
    <xf numFmtId="0" fontId="22" fillId="0" borderId="0" xfId="64" quotePrefix="1" applyNumberFormat="1" applyAlignment="1">
      <alignment horizontal="centerContinuous"/>
    </xf>
    <xf numFmtId="0" fontId="22" fillId="0" borderId="0" xfId="64" applyNumberFormat="1" applyAlignment="1">
      <alignment horizontal="centerContinuous"/>
    </xf>
    <xf numFmtId="0" fontId="22" fillId="3" borderId="0" xfId="71" quotePrefix="1" applyNumberFormat="1" applyAlignment="1">
      <alignment horizontal="centerContinuous"/>
    </xf>
    <xf numFmtId="0" fontId="22" fillId="3" borderId="0" xfId="71" applyNumberFormat="1" applyAlignment="1">
      <alignment horizontal="centerContinuous"/>
    </xf>
    <xf numFmtId="0" fontId="11" fillId="0" borderId="0" xfId="78" quotePrefix="1" applyNumberFormat="1" applyAlignment="1">
      <alignment horizontal="centerContinuous"/>
    </xf>
    <xf numFmtId="0" fontId="11" fillId="0" borderId="0" xfId="78" applyNumberFormat="1" applyAlignment="1">
      <alignment horizontal="centerContinuous"/>
    </xf>
    <xf numFmtId="0" fontId="67" fillId="0" borderId="0" xfId="59" applyNumberFormat="1" applyFont="1" applyAlignment="1">
      <alignment horizontal="right"/>
    </xf>
    <xf numFmtId="7" fontId="11" fillId="0" borderId="0" xfId="59" applyNumberFormat="1"/>
    <xf numFmtId="0" fontId="22" fillId="0" borderId="0" xfId="64" quotePrefix="1" applyAlignment="1">
      <alignment horizontal="left"/>
    </xf>
    <xf numFmtId="0" fontId="22" fillId="0" borderId="0" xfId="64"/>
    <xf numFmtId="167" fontId="22" fillId="0" borderId="0" xfId="64" applyNumberFormat="1"/>
    <xf numFmtId="7" fontId="67" fillId="0" borderId="0" xfId="59" applyNumberFormat="1" applyFont="1"/>
    <xf numFmtId="7" fontId="68" fillId="0" borderId="0" xfId="59" applyNumberFormat="1" applyFont="1"/>
    <xf numFmtId="2" fontId="11" fillId="0" borderId="2" xfId="59" quotePrefix="1" applyNumberFormat="1" applyBorder="1" applyAlignment="1">
      <alignment horizontal="center" wrapText="1"/>
    </xf>
    <xf numFmtId="0" fontId="26" fillId="0" borderId="0" xfId="0" applyFont="1" applyFill="1"/>
    <xf numFmtId="0" fontId="69" fillId="0" borderId="0" xfId="0" applyFont="1" applyFill="1"/>
    <xf numFmtId="0" fontId="5" fillId="15" borderId="0" xfId="0" applyFont="1" applyFill="1"/>
    <xf numFmtId="0" fontId="3" fillId="0" borderId="0" xfId="60"/>
    <xf numFmtId="167" fontId="3" fillId="0" borderId="0" xfId="60" applyNumberFormat="1"/>
    <xf numFmtId="0" fontId="3" fillId="0" borderId="0" xfId="60" quotePrefix="1" applyAlignment="1">
      <alignment horizontal="left"/>
    </xf>
    <xf numFmtId="168" fontId="3" fillId="0" borderId="0" xfId="60" applyNumberFormat="1"/>
    <xf numFmtId="0" fontId="3" fillId="0" borderId="0" xfId="60" applyNumberFormat="1"/>
    <xf numFmtId="0" fontId="3" fillId="0" borderId="2" xfId="60" quotePrefix="1" applyNumberFormat="1" applyBorder="1" applyAlignment="1">
      <alignment horizontal="center"/>
    </xf>
    <xf numFmtId="0" fontId="3" fillId="0" borderId="0" xfId="60" applyNumberFormat="1" applyAlignment="1">
      <alignment horizontal="centerContinuous"/>
    </xf>
    <xf numFmtId="0" fontId="3" fillId="0" borderId="0" xfId="60" quotePrefix="1" applyNumberFormat="1" applyAlignment="1">
      <alignment horizontal="centerContinuous"/>
    </xf>
    <xf numFmtId="0" fontId="3" fillId="0" borderId="0" xfId="79" applyNumberFormat="1" applyAlignment="1">
      <alignment horizontal="centerContinuous"/>
    </xf>
    <xf numFmtId="0" fontId="3" fillId="0" borderId="0" xfId="79" quotePrefix="1" applyNumberFormat="1" applyAlignment="1">
      <alignment horizontal="centerContinuous"/>
    </xf>
    <xf numFmtId="8" fontId="5" fillId="16" borderId="0" xfId="0" applyNumberFormat="1" applyFont="1" applyFill="1"/>
    <xf numFmtId="0" fontId="66" fillId="0" borderId="0" xfId="63" quotePrefix="1" applyNumberFormat="1" applyFont="1" applyAlignment="1">
      <alignment horizontal="centerContinuous"/>
    </xf>
    <xf numFmtId="0" fontId="66" fillId="0" borderId="0" xfId="63" applyNumberFormat="1" applyFont="1" applyAlignment="1">
      <alignment horizontal="centerContinuous"/>
    </xf>
    <xf numFmtId="0" fontId="66" fillId="0" borderId="0" xfId="70" quotePrefix="1" applyNumberFormat="1" applyFont="1" applyAlignment="1">
      <alignment horizontal="centerContinuous"/>
    </xf>
    <xf numFmtId="0" fontId="66" fillId="0" borderId="0" xfId="70" applyNumberFormat="1" applyFont="1" applyAlignment="1">
      <alignment horizontal="centerContinuous"/>
    </xf>
    <xf numFmtId="0" fontId="65" fillId="0" borderId="0" xfId="77" quotePrefix="1" applyNumberFormat="1" applyFont="1" applyAlignment="1">
      <alignment horizontal="centerContinuous"/>
    </xf>
    <xf numFmtId="0" fontId="65" fillId="0" borderId="0" xfId="77" applyNumberFormat="1" applyFont="1" applyAlignment="1">
      <alignment horizontal="centerContinuous"/>
    </xf>
    <xf numFmtId="0" fontId="65" fillId="0" borderId="0" xfId="59" quotePrefix="1" applyNumberFormat="1" applyFont="1" applyAlignment="1">
      <alignment horizontal="centerContinuous"/>
    </xf>
    <xf numFmtId="0" fontId="65" fillId="0" borderId="0" xfId="59" applyNumberFormat="1" applyFont="1" applyAlignment="1">
      <alignment horizontal="centerContinuous"/>
    </xf>
    <xf numFmtId="0" fontId="65" fillId="0" borderId="0" xfId="59" applyNumberFormat="1" applyFont="1"/>
    <xf numFmtId="0" fontId="65" fillId="0" borderId="2" xfId="59" quotePrefix="1" applyNumberFormat="1" applyFont="1" applyBorder="1" applyAlignment="1">
      <alignment horizontal="center"/>
    </xf>
    <xf numFmtId="0" fontId="65" fillId="0" borderId="0" xfId="59" quotePrefix="1" applyFont="1" applyAlignment="1">
      <alignment horizontal="left"/>
    </xf>
    <xf numFmtId="168" fontId="65" fillId="0" borderId="0" xfId="59" applyNumberFormat="1" applyFont="1"/>
    <xf numFmtId="167" fontId="65" fillId="0" borderId="0" xfId="59" applyNumberFormat="1" applyFont="1"/>
    <xf numFmtId="0" fontId="66" fillId="0" borderId="0" xfId="63" quotePrefix="1" applyFont="1" applyAlignment="1">
      <alignment horizontal="left"/>
    </xf>
    <xf numFmtId="0" fontId="66" fillId="0" borderId="0" xfId="63" applyFont="1"/>
    <xf numFmtId="167" fontId="66" fillId="0" borderId="0" xfId="63" applyNumberFormat="1" applyFont="1"/>
    <xf numFmtId="0" fontId="65" fillId="0" borderId="0" xfId="59" applyFont="1"/>
    <xf numFmtId="0" fontId="65" fillId="0" borderId="5" xfId="59" applyNumberFormat="1" applyFont="1" applyBorder="1"/>
    <xf numFmtId="169" fontId="0" fillId="0" borderId="0" xfId="0" applyNumberFormat="1"/>
    <xf numFmtId="0" fontId="5" fillId="0" borderId="0" xfId="0" applyFont="1" applyFill="1" applyBorder="1"/>
    <xf numFmtId="167" fontId="3" fillId="0" borderId="0" xfId="60" applyNumberFormat="1" applyFont="1"/>
    <xf numFmtId="39" fontId="5" fillId="0" borderId="2" xfId="8" applyFont="1" applyBorder="1" applyAlignment="1">
      <alignment horizontal="center"/>
    </xf>
    <xf numFmtId="39" fontId="5" fillId="0" borderId="2" xfId="8" applyFont="1" applyBorder="1" applyAlignment="1">
      <alignment horizontal="center" wrapText="1"/>
    </xf>
    <xf numFmtId="39" fontId="5" fillId="0" borderId="0" xfId="8" applyFont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39" fontId="2" fillId="0" borderId="3" xfId="8" applyFont="1" applyBorder="1"/>
    <xf numFmtId="39" fontId="2" fillId="0" borderId="0" xfId="8" applyFont="1" applyBorder="1"/>
    <xf numFmtId="39" fontId="5" fillId="0" borderId="0" xfId="8" applyFont="1"/>
    <xf numFmtId="39" fontId="5" fillId="0" borderId="0" xfId="8" applyFont="1" applyBorder="1"/>
    <xf numFmtId="39" fontId="2" fillId="0" borderId="0" xfId="8" applyFont="1"/>
    <xf numFmtId="0" fontId="2" fillId="0" borderId="0" xfId="0" applyFont="1"/>
    <xf numFmtId="39" fontId="5" fillId="0" borderId="0" xfId="8" applyFont="1" applyFill="1" applyBorder="1"/>
    <xf numFmtId="39" fontId="2" fillId="0" borderId="0" xfId="0" applyNumberFormat="1" applyFont="1"/>
    <xf numFmtId="39" fontId="5" fillId="15" borderId="0" xfId="8" applyFont="1" applyFill="1" applyBorder="1"/>
    <xf numFmtId="39" fontId="67" fillId="0" borderId="0" xfId="8" applyFont="1" applyBorder="1"/>
    <xf numFmtId="39" fontId="67" fillId="0" borderId="0" xfId="8" applyFont="1" applyFill="1" applyBorder="1"/>
    <xf numFmtId="0" fontId="2" fillId="0" borderId="0" xfId="0" applyFont="1" applyFill="1" applyAlignment="1">
      <alignment horizontal="center"/>
    </xf>
    <xf numFmtId="43" fontId="2" fillId="0" borderId="4" xfId="0" applyNumberFormat="1" applyFont="1" applyBorder="1"/>
    <xf numFmtId="39" fontId="2" fillId="0" borderId="4" xfId="8" applyFont="1" applyBorder="1"/>
    <xf numFmtId="39" fontId="2" fillId="0" borderId="0" xfId="8" applyFont="1" applyFill="1" applyBorder="1"/>
    <xf numFmtId="43" fontId="2" fillId="0" borderId="0" xfId="0" applyNumberFormat="1" applyFont="1" applyBorder="1"/>
    <xf numFmtId="43" fontId="2" fillId="0" borderId="0" xfId="0" applyNumberFormat="1" applyFont="1" applyFill="1" applyBorder="1"/>
    <xf numFmtId="39" fontId="5" fillId="0" borderId="0" xfId="8" applyFont="1" applyFill="1"/>
    <xf numFmtId="39" fontId="5" fillId="0" borderId="2" xfId="8" applyFont="1" applyBorder="1"/>
    <xf numFmtId="39" fontId="5" fillId="0" borderId="2" xfId="8" applyFont="1" applyFill="1" applyBorder="1"/>
    <xf numFmtId="7" fontId="2" fillId="0" borderId="0" xfId="0" applyNumberFormat="1" applyFont="1"/>
    <xf numFmtId="39" fontId="5" fillId="16" borderId="0" xfId="8" applyFont="1" applyFill="1" applyBorder="1"/>
    <xf numFmtId="39" fontId="5" fillId="16" borderId="0" xfId="8" applyFont="1" applyFill="1"/>
    <xf numFmtId="43" fontId="2" fillId="0" borderId="4" xfId="0" applyNumberFormat="1" applyFont="1" applyFill="1" applyBorder="1"/>
    <xf numFmtId="39" fontId="2" fillId="0" borderId="0" xfId="8" applyFont="1" applyFill="1"/>
    <xf numFmtId="0" fontId="2" fillId="0" borderId="0" xfId="0" applyFont="1" applyFill="1"/>
    <xf numFmtId="43" fontId="2" fillId="9" borderId="4" xfId="0" applyNumberFormat="1" applyFont="1" applyFill="1" applyBorder="1"/>
    <xf numFmtId="43" fontId="2" fillId="10" borderId="4" xfId="0" applyNumberFormat="1" applyFont="1" applyFill="1" applyBorder="1"/>
    <xf numFmtId="39" fontId="5" fillId="0" borderId="5" xfId="8" applyFont="1" applyBorder="1"/>
    <xf numFmtId="43" fontId="2" fillId="17" borderId="4" xfId="0" applyNumberFormat="1" applyFont="1" applyFill="1" applyBorder="1"/>
    <xf numFmtId="39" fontId="5" fillId="0" borderId="0" xfId="8" applyNumberFormat="1" applyFont="1"/>
    <xf numFmtId="39" fontId="5" fillId="11" borderId="0" xfId="8" applyNumberFormat="1" applyFont="1" applyFill="1"/>
    <xf numFmtId="43" fontId="5" fillId="0" borderId="0" xfId="3" applyFont="1"/>
    <xf numFmtId="39" fontId="8" fillId="0" borderId="0" xfId="8" applyFont="1"/>
    <xf numFmtId="7" fontId="0" fillId="0" borderId="0" xfId="0" applyNumberFormat="1"/>
    <xf numFmtId="169" fontId="2" fillId="0" borderId="0" xfId="0" applyNumberFormat="1" applyFont="1"/>
    <xf numFmtId="167" fontId="0" fillId="0" borderId="0" xfId="0" applyNumberFormat="1"/>
    <xf numFmtId="39" fontId="0" fillId="0" borderId="0" xfId="0" applyNumberFormat="1"/>
    <xf numFmtId="170" fontId="5" fillId="0" borderId="0" xfId="0" applyNumberFormat="1" applyFont="1"/>
    <xf numFmtId="39" fontId="5" fillId="16" borderId="0" xfId="0" applyNumberFormat="1" applyFont="1" applyFill="1"/>
    <xf numFmtId="169" fontId="0" fillId="18" borderId="0" xfId="0" applyNumberFormat="1" applyFill="1"/>
    <xf numFmtId="0" fontId="65" fillId="18" borderId="0" xfId="59" applyNumberFormat="1" applyFont="1" applyFill="1" applyBorder="1" applyAlignment="1">
      <alignment horizontal="center"/>
    </xf>
    <xf numFmtId="0" fontId="66" fillId="0" borderId="0" xfId="66" quotePrefix="1" applyNumberFormat="1" applyAlignment="1">
      <alignment horizontal="centerContinuous"/>
    </xf>
    <xf numFmtId="0" fontId="66" fillId="0" borderId="0" xfId="66" applyNumberFormat="1" applyAlignment="1">
      <alignment horizontal="centerContinuous"/>
    </xf>
    <xf numFmtId="0" fontId="66" fillId="14" borderId="0" xfId="73" quotePrefix="1" applyNumberFormat="1" applyAlignment="1">
      <alignment horizontal="centerContinuous"/>
    </xf>
    <xf numFmtId="0" fontId="66" fillId="14" borderId="0" xfId="73" applyNumberFormat="1" applyAlignment="1">
      <alignment horizontal="centerContinuous"/>
    </xf>
    <xf numFmtId="0" fontId="65" fillId="0" borderId="0" xfId="81" quotePrefix="1" applyNumberFormat="1" applyAlignment="1">
      <alignment horizontal="centerContinuous"/>
    </xf>
    <xf numFmtId="0" fontId="65" fillId="0" borderId="0" xfId="81" applyNumberFormat="1" applyAlignment="1">
      <alignment horizontal="centerContinuous"/>
    </xf>
    <xf numFmtId="0" fontId="65" fillId="0" borderId="0" xfId="62" quotePrefix="1" applyNumberFormat="1" applyAlignment="1">
      <alignment horizontal="centerContinuous"/>
    </xf>
    <xf numFmtId="0" fontId="65" fillId="0" borderId="0" xfId="62" applyNumberFormat="1" applyAlignment="1">
      <alignment horizontal="centerContinuous"/>
    </xf>
    <xf numFmtId="0" fontId="65" fillId="0" borderId="0" xfId="62" applyNumberFormat="1"/>
    <xf numFmtId="0" fontId="65" fillId="0" borderId="2" xfId="62" quotePrefix="1" applyNumberFormat="1" applyBorder="1" applyAlignment="1">
      <alignment horizontal="center"/>
    </xf>
    <xf numFmtId="0" fontId="65" fillId="0" borderId="0" xfId="62" quotePrefix="1" applyAlignment="1">
      <alignment horizontal="left"/>
    </xf>
    <xf numFmtId="168" fontId="65" fillId="0" borderId="0" xfId="62" applyNumberFormat="1"/>
    <xf numFmtId="167" fontId="65" fillId="0" borderId="0" xfId="62" applyNumberFormat="1"/>
    <xf numFmtId="0" fontId="66" fillId="0" borderId="0" xfId="66" quotePrefix="1" applyAlignment="1">
      <alignment horizontal="left"/>
    </xf>
    <xf numFmtId="0" fontId="66" fillId="0" borderId="0" xfId="66"/>
    <xf numFmtId="167" fontId="66" fillId="0" borderId="0" xfId="66" applyNumberFormat="1"/>
    <xf numFmtId="0" fontId="64" fillId="0" borderId="0" xfId="55"/>
    <xf numFmtId="0" fontId="65" fillId="0" borderId="0" xfId="62"/>
    <xf numFmtId="167" fontId="0" fillId="18" borderId="0" xfId="0" applyNumberFormat="1" applyFill="1"/>
    <xf numFmtId="167" fontId="65" fillId="0" borderId="0" xfId="60" applyNumberFormat="1" applyFont="1"/>
    <xf numFmtId="168" fontId="65" fillId="0" borderId="0" xfId="60" applyNumberFormat="1" applyFont="1"/>
    <xf numFmtId="0" fontId="2" fillId="0" borderId="0" xfId="46" applyFont="1" applyFill="1"/>
    <xf numFmtId="171" fontId="2" fillId="0" borderId="0" xfId="46" applyNumberFormat="1" applyFont="1" applyFill="1" applyAlignment="1">
      <alignment horizontal="center"/>
    </xf>
    <xf numFmtId="172" fontId="2" fillId="0" borderId="0" xfId="46" applyNumberFormat="1" applyFont="1" applyFill="1" applyBorder="1" applyAlignment="1">
      <alignment horizontal="center"/>
    </xf>
    <xf numFmtId="0" fontId="5" fillId="0" borderId="0" xfId="46"/>
    <xf numFmtId="0" fontId="2" fillId="0" borderId="0" xfId="46" applyFont="1"/>
    <xf numFmtId="0" fontId="5" fillId="0" borderId="0" xfId="46" applyBorder="1"/>
    <xf numFmtId="0" fontId="2" fillId="0" borderId="0" xfId="46" applyFont="1" applyBorder="1" applyAlignment="1">
      <alignment horizontal="center"/>
    </xf>
    <xf numFmtId="0" fontId="2" fillId="0" borderId="0" xfId="46" applyFont="1" applyFill="1" applyBorder="1" applyAlignment="1">
      <alignment horizontal="center"/>
    </xf>
    <xf numFmtId="166" fontId="2" fillId="0" borderId="0" xfId="46" applyNumberFormat="1" applyFont="1" applyBorder="1" applyAlignment="1">
      <alignment horizontal="center"/>
    </xf>
    <xf numFmtId="0" fontId="2" fillId="7" borderId="0" xfId="46" applyFont="1" applyFill="1" applyBorder="1"/>
    <xf numFmtId="39" fontId="2" fillId="7" borderId="0" xfId="46" applyNumberFormat="1" applyFont="1" applyFill="1" applyBorder="1"/>
    <xf numFmtId="39" fontId="2" fillId="7" borderId="0" xfId="11" applyNumberFormat="1" applyFont="1" applyFill="1" applyBorder="1"/>
    <xf numFmtId="44" fontId="5" fillId="0" borderId="0" xfId="46" applyNumberFormat="1"/>
    <xf numFmtId="0" fontId="2" fillId="0" borderId="0" xfId="46" applyFont="1" applyFill="1" applyBorder="1"/>
    <xf numFmtId="39" fontId="2" fillId="0" borderId="0" xfId="11" applyNumberFormat="1" applyFont="1" applyFill="1" applyBorder="1"/>
    <xf numFmtId="39" fontId="2" fillId="0" borderId="0" xfId="46" applyNumberFormat="1" applyFont="1" applyFill="1" applyBorder="1"/>
    <xf numFmtId="0" fontId="5" fillId="0" borderId="0" xfId="46" applyFill="1"/>
    <xf numFmtId="43" fontId="5" fillId="0" borderId="0" xfId="46" applyNumberFormat="1" applyFill="1"/>
    <xf numFmtId="0" fontId="2" fillId="0" borderId="0" xfId="46" applyFont="1" applyBorder="1"/>
    <xf numFmtId="39" fontId="5" fillId="0" borderId="0" xfId="46" applyNumberFormat="1" applyBorder="1"/>
    <xf numFmtId="0" fontId="5" fillId="0" borderId="0" xfId="46" applyFill="1" applyBorder="1"/>
    <xf numFmtId="39" fontId="5" fillId="0" borderId="0" xfId="46" applyNumberFormat="1" applyFont="1" applyFill="1" applyBorder="1"/>
    <xf numFmtId="39" fontId="5" fillId="0" borderId="0" xfId="46" applyNumberFormat="1" applyFill="1" applyAlignment="1">
      <alignment horizontal="right" vertical="center"/>
    </xf>
    <xf numFmtId="39" fontId="5" fillId="0" borderId="0" xfId="46" applyNumberFormat="1"/>
    <xf numFmtId="39" fontId="5" fillId="0" borderId="0" xfId="46" applyNumberFormat="1" applyFill="1" applyBorder="1"/>
    <xf numFmtId="39" fontId="5" fillId="0" borderId="0" xfId="46" applyNumberFormat="1" applyFont="1" applyFill="1" applyBorder="1" applyAlignment="1">
      <alignment wrapText="1"/>
    </xf>
    <xf numFmtId="0" fontId="5" fillId="0" borderId="0" xfId="46" applyFont="1" applyFill="1" applyBorder="1"/>
    <xf numFmtId="39" fontId="5" fillId="0" borderId="0" xfId="11" applyNumberFormat="1" applyFont="1"/>
    <xf numFmtId="39" fontId="5" fillId="0" borderId="6" xfId="46" applyNumberFormat="1" applyFont="1" applyFill="1" applyBorder="1"/>
    <xf numFmtId="39" fontId="5" fillId="0" borderId="0" xfId="46" applyNumberFormat="1" applyFont="1"/>
    <xf numFmtId="0" fontId="5" fillId="0" borderId="0" xfId="46" applyFont="1"/>
    <xf numFmtId="39" fontId="30" fillId="0" borderId="6" xfId="46" applyNumberFormat="1" applyFont="1" applyFill="1" applyBorder="1" applyAlignment="1">
      <alignment wrapText="1"/>
    </xf>
    <xf numFmtId="39" fontId="5" fillId="0" borderId="6" xfId="46" applyNumberFormat="1" applyFont="1" applyFill="1" applyBorder="1" applyAlignment="1">
      <alignment wrapText="1"/>
    </xf>
    <xf numFmtId="0" fontId="5" fillId="0" borderId="0" xfId="46" applyFont="1" applyBorder="1"/>
    <xf numFmtId="43" fontId="5" fillId="0" borderId="0" xfId="46" applyNumberFormat="1"/>
    <xf numFmtId="39" fontId="5" fillId="0" borderId="0" xfId="11" applyNumberFormat="1" applyFill="1"/>
    <xf numFmtId="39" fontId="5" fillId="0" borderId="0" xfId="46" applyNumberFormat="1" applyFill="1"/>
    <xf numFmtId="39" fontId="30" fillId="0" borderId="0" xfId="46" applyNumberFormat="1" applyFont="1"/>
    <xf numFmtId="39" fontId="30" fillId="0" borderId="0" xfId="46" applyNumberFormat="1" applyFont="1" applyFill="1" applyBorder="1"/>
    <xf numFmtId="39" fontId="5" fillId="0" borderId="0" xfId="11" applyNumberFormat="1"/>
    <xf numFmtId="0" fontId="5" fillId="0" borderId="6" xfId="54" applyFont="1" applyFill="1" applyBorder="1"/>
    <xf numFmtId="0" fontId="5" fillId="0" borderId="6" xfId="54" applyFont="1" applyFill="1" applyBorder="1" applyAlignment="1">
      <alignment horizontal="left" wrapText="1"/>
    </xf>
    <xf numFmtId="39" fontId="30" fillId="0" borderId="0" xfId="11" applyNumberFormat="1" applyFont="1"/>
    <xf numFmtId="0" fontId="30" fillId="0" borderId="0" xfId="46" applyFont="1"/>
    <xf numFmtId="39" fontId="5" fillId="0" borderId="6" xfId="46" applyNumberFormat="1" applyFont="1" applyFill="1" applyBorder="1" applyAlignment="1"/>
    <xf numFmtId="39" fontId="5" fillId="0" borderId="0" xfId="11" applyNumberFormat="1" applyFont="1" applyFill="1"/>
    <xf numFmtId="39" fontId="5" fillId="0" borderId="0" xfId="5" applyNumberFormat="1" applyFont="1" applyFill="1" applyBorder="1"/>
    <xf numFmtId="7" fontId="5" fillId="0" borderId="0" xfId="46" applyNumberFormat="1" applyFill="1"/>
    <xf numFmtId="39" fontId="5" fillId="0" borderId="0" xfId="11" applyNumberFormat="1" applyFont="1" applyBorder="1"/>
    <xf numFmtId="39" fontId="19" fillId="0" borderId="0" xfId="5" applyNumberFormat="1" applyFont="1" applyFill="1"/>
    <xf numFmtId="39" fontId="2" fillId="7" borderId="0" xfId="46" applyNumberFormat="1" applyFont="1" applyFill="1"/>
    <xf numFmtId="39" fontId="31" fillId="0" borderId="0" xfId="11" applyNumberFormat="1" applyFont="1" applyFill="1"/>
    <xf numFmtId="39" fontId="31" fillId="0" borderId="0" xfId="46" applyNumberFormat="1" applyFont="1" applyFill="1"/>
    <xf numFmtId="0" fontId="31" fillId="0" borderId="0" xfId="46" applyFont="1" applyFill="1"/>
    <xf numFmtId="39" fontId="32" fillId="0" borderId="0" xfId="46" applyNumberFormat="1" applyFont="1" applyFill="1"/>
    <xf numFmtId="39" fontId="5" fillId="0" borderId="7" xfId="46" applyNumberFormat="1" applyBorder="1"/>
    <xf numFmtId="0" fontId="2" fillId="7" borderId="8" xfId="46" applyFont="1" applyFill="1" applyBorder="1"/>
    <xf numFmtId="39" fontId="5" fillId="7" borderId="7" xfId="46" applyNumberFormat="1" applyFill="1" applyBorder="1"/>
    <xf numFmtId="39" fontId="5" fillId="7" borderId="9" xfId="46" applyNumberFormat="1" applyFill="1" applyBorder="1"/>
    <xf numFmtId="0" fontId="5" fillId="7" borderId="6" xfId="46" applyFill="1" applyBorder="1"/>
    <xf numFmtId="39" fontId="5" fillId="7" borderId="0" xfId="46" applyNumberFormat="1" applyFill="1" applyBorder="1"/>
    <xf numFmtId="39" fontId="5" fillId="7" borderId="10" xfId="46" applyNumberFormat="1" applyFill="1" applyBorder="1"/>
    <xf numFmtId="0" fontId="2" fillId="7" borderId="6" xfId="46" applyFont="1" applyFill="1" applyBorder="1"/>
    <xf numFmtId="39" fontId="5" fillId="19" borderId="6" xfId="46" applyNumberFormat="1" applyFont="1" applyFill="1" applyBorder="1" applyAlignment="1">
      <alignment wrapText="1"/>
    </xf>
    <xf numFmtId="39" fontId="5" fillId="7" borderId="0" xfId="46" applyNumberFormat="1" applyFont="1" applyFill="1" applyBorder="1"/>
    <xf numFmtId="0" fontId="5" fillId="7" borderId="6" xfId="46" applyFont="1" applyFill="1" applyBorder="1" applyAlignment="1">
      <alignment wrapText="1"/>
    </xf>
    <xf numFmtId="39" fontId="5" fillId="7" borderId="2" xfId="46" applyNumberFormat="1" applyFill="1" applyBorder="1"/>
    <xf numFmtId="0" fontId="6" fillId="7" borderId="10" xfId="46" applyFont="1" applyFill="1" applyBorder="1"/>
    <xf numFmtId="10" fontId="0" fillId="7" borderId="0" xfId="58" applyNumberFormat="1" applyFont="1" applyFill="1" applyBorder="1"/>
    <xf numFmtId="0" fontId="5" fillId="7" borderId="0" xfId="46" applyFill="1" applyBorder="1"/>
    <xf numFmtId="0" fontId="5" fillId="7" borderId="10" xfId="46" applyFill="1" applyBorder="1"/>
    <xf numFmtId="0" fontId="6" fillId="7" borderId="11" xfId="46" applyFont="1" applyFill="1" applyBorder="1" applyAlignment="1">
      <alignment horizontal="right"/>
    </xf>
    <xf numFmtId="0" fontId="5" fillId="7" borderId="1" xfId="46" applyFill="1" applyBorder="1"/>
    <xf numFmtId="0" fontId="5" fillId="7" borderId="12" xfId="46" applyFill="1" applyBorder="1"/>
    <xf numFmtId="0" fontId="5" fillId="7" borderId="0" xfId="46" applyFill="1"/>
    <xf numFmtId="43" fontId="0" fillId="0" borderId="0" xfId="5" applyFont="1"/>
    <xf numFmtId="43" fontId="0" fillId="0" borderId="0" xfId="5" applyFont="1" applyBorder="1"/>
    <xf numFmtId="169" fontId="64" fillId="0" borderId="0" xfId="55" applyNumberFormat="1"/>
    <xf numFmtId="0" fontId="66" fillId="0" borderId="0" xfId="77" quotePrefix="1" applyNumberFormat="1" applyFont="1" applyAlignment="1">
      <alignment horizontal="centerContinuous"/>
    </xf>
    <xf numFmtId="0" fontId="66" fillId="0" borderId="0" xfId="77" applyNumberFormat="1" applyFont="1" applyAlignment="1">
      <alignment horizontal="centerContinuous"/>
    </xf>
    <xf numFmtId="0" fontId="33" fillId="0" borderId="0" xfId="0" applyFont="1" applyAlignment="1">
      <alignment horizontal="centerContinuous"/>
    </xf>
    <xf numFmtId="167" fontId="33" fillId="0" borderId="0" xfId="16" applyFont="1" applyAlignment="1">
      <alignment horizontal="centerContinuous"/>
    </xf>
    <xf numFmtId="0" fontId="33" fillId="6" borderId="0" xfId="0" applyFont="1" applyFill="1" applyAlignment="1">
      <alignment horizontal="centerContinuous"/>
    </xf>
    <xf numFmtId="167" fontId="33" fillId="6" borderId="0" xfId="16" applyFont="1" applyFill="1" applyAlignment="1">
      <alignment horizontal="centerContinuous"/>
    </xf>
    <xf numFmtId="0" fontId="0" fillId="0" borderId="0" xfId="0" applyAlignment="1">
      <alignment horizontal="centerContinuous"/>
    </xf>
    <xf numFmtId="167" fontId="34" fillId="0" borderId="0" xfId="16" applyAlignment="1">
      <alignment horizontal="centerContinuous"/>
    </xf>
    <xf numFmtId="167" fontId="34" fillId="0" borderId="0" xfId="16"/>
    <xf numFmtId="0" fontId="0" fillId="0" borderId="2" xfId="0" applyBorder="1" applyAlignment="1">
      <alignment horizontal="center"/>
    </xf>
    <xf numFmtId="49" fontId="34" fillId="0" borderId="2" xfId="16" applyNumberFormat="1" applyBorder="1" applyAlignment="1">
      <alignment horizontal="center"/>
    </xf>
    <xf numFmtId="0" fontId="0" fillId="0" borderId="0" xfId="0" applyAlignment="1">
      <alignment horizontal="left"/>
    </xf>
    <xf numFmtId="168" fontId="34" fillId="0" borderId="0" xfId="16" applyNumberFormat="1"/>
    <xf numFmtId="0" fontId="33" fillId="0" borderId="0" xfId="0" applyFont="1" applyAlignment="1">
      <alignment horizontal="left"/>
    </xf>
    <xf numFmtId="0" fontId="33" fillId="0" borderId="0" xfId="0" applyFont="1"/>
    <xf numFmtId="167" fontId="33" fillId="0" borderId="0" xfId="16" applyFont="1"/>
    <xf numFmtId="0" fontId="36" fillId="0" borderId="0" xfId="48" applyFont="1" applyAlignment="1">
      <alignment horizontal="centerContinuous"/>
    </xf>
    <xf numFmtId="167" fontId="36" fillId="0" borderId="0" xfId="24" applyFont="1" applyAlignment="1">
      <alignment horizontal="centerContinuous"/>
    </xf>
    <xf numFmtId="0" fontId="35" fillId="0" borderId="0" xfId="48"/>
    <xf numFmtId="0" fontId="36" fillId="6" borderId="0" xfId="48" applyFont="1" applyFill="1" applyAlignment="1">
      <alignment horizontal="centerContinuous"/>
    </xf>
    <xf numFmtId="167" fontId="36" fillId="6" borderId="0" xfId="24" applyFont="1" applyFill="1" applyAlignment="1">
      <alignment horizontal="centerContinuous"/>
    </xf>
    <xf numFmtId="0" fontId="35" fillId="0" borderId="0" xfId="48" applyAlignment="1">
      <alignment horizontal="centerContinuous"/>
    </xf>
    <xf numFmtId="167" fontId="35" fillId="0" borderId="0" xfId="24" applyAlignment="1">
      <alignment horizontal="centerContinuous"/>
    </xf>
    <xf numFmtId="0" fontId="35" fillId="0" borderId="2" xfId="48" applyBorder="1" applyAlignment="1">
      <alignment horizontal="center"/>
    </xf>
    <xf numFmtId="49" fontId="35" fillId="0" borderId="2" xfId="24" applyNumberFormat="1" applyBorder="1" applyAlignment="1">
      <alignment horizontal="center"/>
    </xf>
    <xf numFmtId="0" fontId="35" fillId="0" borderId="0" xfId="48" applyAlignment="1">
      <alignment horizontal="left"/>
    </xf>
    <xf numFmtId="168" fontId="35" fillId="0" borderId="0" xfId="24" applyNumberFormat="1"/>
    <xf numFmtId="167" fontId="35" fillId="0" borderId="0" xfId="24"/>
    <xf numFmtId="0" fontId="36" fillId="0" borderId="0" xfId="48" applyFont="1" applyAlignment="1">
      <alignment horizontal="left"/>
    </xf>
    <xf numFmtId="0" fontId="36" fillId="0" borderId="0" xfId="48" applyFont="1"/>
    <xf numFmtId="167" fontId="36" fillId="0" borderId="0" xfId="24" applyFont="1"/>
    <xf numFmtId="0" fontId="33" fillId="0" borderId="0" xfId="47" applyFont="1" applyAlignment="1">
      <alignment horizontal="centerContinuous"/>
    </xf>
    <xf numFmtId="0" fontId="34" fillId="0" borderId="0" xfId="47"/>
    <xf numFmtId="0" fontId="33" fillId="6" borderId="0" xfId="47" applyFont="1" applyFill="1" applyAlignment="1">
      <alignment horizontal="centerContinuous"/>
    </xf>
    <xf numFmtId="0" fontId="34" fillId="0" borderId="0" xfId="47" applyAlignment="1">
      <alignment horizontal="centerContinuous"/>
    </xf>
    <xf numFmtId="0" fontId="34" fillId="0" borderId="2" xfId="47" applyBorder="1" applyAlignment="1">
      <alignment horizontal="center"/>
    </xf>
    <xf numFmtId="0" fontId="34" fillId="0" borderId="0" xfId="47" applyAlignment="1">
      <alignment horizontal="left"/>
    </xf>
    <xf numFmtId="0" fontId="33" fillId="0" borderId="0" xfId="47" applyFont="1" applyAlignment="1">
      <alignment horizontal="left"/>
    </xf>
    <xf numFmtId="0" fontId="33" fillId="0" borderId="0" xfId="47" applyFont="1"/>
    <xf numFmtId="0" fontId="7" fillId="0" borderId="0" xfId="0" applyFont="1" applyFill="1" applyAlignment="1">
      <alignment horizontal="center"/>
    </xf>
    <xf numFmtId="43" fontId="38" fillId="0" borderId="0" xfId="6" applyFont="1"/>
    <xf numFmtId="0" fontId="38" fillId="0" borderId="0" xfId="0" applyFont="1"/>
    <xf numFmtId="9" fontId="7" fillId="19" borderId="0" xfId="6" applyNumberFormat="1" applyFont="1" applyFill="1" applyAlignment="1">
      <alignment horizontal="right"/>
    </xf>
    <xf numFmtId="0" fontId="7" fillId="19" borderId="0" xfId="0" applyFont="1" applyFill="1"/>
    <xf numFmtId="43" fontId="38" fillId="0" borderId="0" xfId="6" applyFont="1" applyAlignment="1">
      <alignment horizontal="right"/>
    </xf>
    <xf numFmtId="44" fontId="7" fillId="0" borderId="3" xfId="6" applyNumberFormat="1" applyFont="1" applyFill="1" applyBorder="1" applyAlignment="1">
      <alignment horizontal="distributed"/>
    </xf>
    <xf numFmtId="0" fontId="7" fillId="0" borderId="0" xfId="0" applyFont="1" applyBorder="1"/>
    <xf numFmtId="43" fontId="38" fillId="0" borderId="0" xfId="6" applyNumberFormat="1" applyFont="1" applyFill="1" applyAlignment="1">
      <alignment horizontal="distributed"/>
    </xf>
    <xf numFmtId="44" fontId="38" fillId="0" borderId="0" xfId="6" applyNumberFormat="1" applyFont="1" applyFill="1" applyAlignment="1">
      <alignment horizontal="distributed"/>
    </xf>
    <xf numFmtId="0" fontId="7" fillId="0" borderId="2" xfId="0" applyFont="1" applyBorder="1"/>
    <xf numFmtId="39" fontId="7" fillId="0" borderId="0" xfId="6" applyNumberFormat="1" applyFont="1" applyFill="1" applyAlignment="1">
      <alignment horizontal="right"/>
    </xf>
    <xf numFmtId="0" fontId="7" fillId="0" borderId="0" xfId="0" applyFont="1"/>
    <xf numFmtId="44" fontId="7" fillId="0" borderId="0" xfId="14" applyFont="1" applyBorder="1" applyAlignment="1">
      <alignment horizontal="right"/>
    </xf>
    <xf numFmtId="43" fontId="38" fillId="0" borderId="0" xfId="6" applyFont="1" applyBorder="1" applyAlignment="1">
      <alignment horizontal="right"/>
    </xf>
    <xf numFmtId="43" fontId="38" fillId="0" borderId="13" xfId="6" applyFont="1" applyBorder="1" applyAlignment="1">
      <alignment horizontal="right"/>
    </xf>
    <xf numFmtId="44" fontId="7" fillId="0" borderId="3" xfId="14" applyFont="1" applyBorder="1"/>
    <xf numFmtId="43" fontId="38" fillId="0" borderId="2" xfId="6" applyFont="1" applyBorder="1" applyAlignment="1">
      <alignment horizontal="center"/>
    </xf>
    <xf numFmtId="4" fontId="38" fillId="0" borderId="2" xfId="0" applyNumberFormat="1" applyFont="1" applyFill="1" applyBorder="1" applyAlignment="1">
      <alignment horizontal="center" wrapText="1"/>
    </xf>
    <xf numFmtId="4" fontId="38" fillId="0" borderId="0" xfId="0" applyNumberFormat="1" applyFont="1" applyFill="1" applyAlignment="1">
      <alignment horizontal="center"/>
    </xf>
    <xf numFmtId="0" fontId="40" fillId="0" borderId="0" xfId="49" applyFont="1" applyAlignment="1">
      <alignment horizontal="centerContinuous"/>
    </xf>
    <xf numFmtId="167" fontId="40" fillId="0" borderId="0" xfId="25" applyFont="1" applyAlignment="1">
      <alignment horizontal="centerContinuous"/>
    </xf>
    <xf numFmtId="0" fontId="39" fillId="0" borderId="0" xfId="49"/>
    <xf numFmtId="0" fontId="40" fillId="6" borderId="0" xfId="49" applyFont="1" applyFill="1" applyAlignment="1">
      <alignment horizontal="centerContinuous"/>
    </xf>
    <xf numFmtId="167" fontId="40" fillId="6" borderId="0" xfId="25" applyFont="1" applyFill="1" applyAlignment="1">
      <alignment horizontal="centerContinuous"/>
    </xf>
    <xf numFmtId="0" fontId="39" fillId="0" borderId="0" xfId="49" applyAlignment="1">
      <alignment horizontal="centerContinuous"/>
    </xf>
    <xf numFmtId="167" fontId="39" fillId="0" borderId="0" xfId="25" applyAlignment="1">
      <alignment horizontal="centerContinuous"/>
    </xf>
    <xf numFmtId="0" fontId="39" fillId="0" borderId="2" xfId="49" applyBorder="1" applyAlignment="1">
      <alignment horizontal="center"/>
    </xf>
    <xf numFmtId="49" fontId="39" fillId="0" borderId="2" xfId="25" applyNumberFormat="1" applyBorder="1" applyAlignment="1">
      <alignment horizontal="center"/>
    </xf>
    <xf numFmtId="0" fontId="39" fillId="0" borderId="0" xfId="49" applyAlignment="1">
      <alignment horizontal="left"/>
    </xf>
    <xf numFmtId="168" fontId="39" fillId="0" borderId="0" xfId="25" applyNumberFormat="1"/>
    <xf numFmtId="167" fontId="39" fillId="0" borderId="0" xfId="25"/>
    <xf numFmtId="0" fontId="40" fillId="0" borderId="0" xfId="49" applyFont="1" applyAlignment="1">
      <alignment horizontal="left"/>
    </xf>
    <xf numFmtId="0" fontId="40" fillId="0" borderId="0" xfId="49" applyFont="1"/>
    <xf numFmtId="167" fontId="40" fillId="0" borderId="0" xfId="25" applyFont="1"/>
    <xf numFmtId="0" fontId="43" fillId="0" borderId="0" xfId="51" applyFont="1" applyAlignment="1">
      <alignment horizontal="centerContinuous"/>
    </xf>
    <xf numFmtId="167" fontId="43" fillId="0" borderId="0" xfId="27" applyFont="1" applyAlignment="1">
      <alignment horizontal="centerContinuous"/>
    </xf>
    <xf numFmtId="0" fontId="42" fillId="0" borderId="0" xfId="51"/>
    <xf numFmtId="0" fontId="43" fillId="6" borderId="0" xfId="51" applyFont="1" applyFill="1" applyAlignment="1">
      <alignment horizontal="centerContinuous"/>
    </xf>
    <xf numFmtId="167" fontId="43" fillId="6" borderId="0" xfId="27" applyFont="1" applyFill="1" applyAlignment="1">
      <alignment horizontal="centerContinuous"/>
    </xf>
    <xf numFmtId="0" fontId="42" fillId="0" borderId="0" xfId="51" applyAlignment="1">
      <alignment horizontal="centerContinuous"/>
    </xf>
    <xf numFmtId="167" fontId="42" fillId="0" borderId="0" xfId="27" applyAlignment="1">
      <alignment horizontal="centerContinuous"/>
    </xf>
    <xf numFmtId="0" fontId="42" fillId="0" borderId="2" xfId="51" applyBorder="1" applyAlignment="1">
      <alignment horizontal="center"/>
    </xf>
    <xf numFmtId="49" fontId="42" fillId="0" borderId="2" xfId="27" applyNumberFormat="1" applyBorder="1" applyAlignment="1">
      <alignment horizontal="center"/>
    </xf>
    <xf numFmtId="0" fontId="42" fillId="0" borderId="0" xfId="51" applyAlignment="1">
      <alignment horizontal="left"/>
    </xf>
    <xf numFmtId="168" fontId="42" fillId="0" borderId="0" xfId="27" applyNumberFormat="1"/>
    <xf numFmtId="167" fontId="42" fillId="0" borderId="0" xfId="27"/>
    <xf numFmtId="0" fontId="43" fillId="0" borderId="0" xfId="51" applyFont="1" applyAlignment="1">
      <alignment horizontal="left"/>
    </xf>
    <xf numFmtId="0" fontId="43" fillId="0" borderId="0" xfId="51" applyFont="1"/>
    <xf numFmtId="167" fontId="43" fillId="0" borderId="0" xfId="27" applyFont="1"/>
    <xf numFmtId="49" fontId="33" fillId="0" borderId="0" xfId="16" applyNumberFormat="1" applyFont="1" applyAlignment="1">
      <alignment horizontal="centerContinuous"/>
    </xf>
    <xf numFmtId="49" fontId="33" fillId="6" borderId="0" xfId="16" applyNumberFormat="1" applyFont="1" applyFill="1" applyAlignment="1">
      <alignment horizontal="centerContinuous"/>
    </xf>
    <xf numFmtId="49" fontId="34" fillId="0" borderId="0" xfId="16" applyNumberFormat="1" applyAlignment="1">
      <alignment horizontal="centerContinuous"/>
    </xf>
    <xf numFmtId="167" fontId="34" fillId="0" borderId="0" xfId="47" applyNumberFormat="1"/>
    <xf numFmtId="0" fontId="47" fillId="0" borderId="0" xfId="38"/>
    <xf numFmtId="49" fontId="48" fillId="0" borderId="0" xfId="31" applyNumberFormat="1" applyFont="1" applyAlignment="1">
      <alignment horizontal="centerContinuous"/>
    </xf>
    <xf numFmtId="167" fontId="48" fillId="0" borderId="0" xfId="31" applyFont="1" applyAlignment="1">
      <alignment horizontal="centerContinuous"/>
    </xf>
    <xf numFmtId="49" fontId="48" fillId="6" borderId="0" xfId="31" applyNumberFormat="1" applyFont="1" applyFill="1" applyAlignment="1">
      <alignment horizontal="centerContinuous"/>
    </xf>
    <xf numFmtId="167" fontId="48" fillId="6" borderId="0" xfId="31" applyFont="1" applyFill="1" applyAlignment="1">
      <alignment horizontal="centerContinuous"/>
    </xf>
    <xf numFmtId="49" fontId="47" fillId="0" borderId="0" xfId="31" applyNumberFormat="1" applyAlignment="1">
      <alignment horizontal="centerContinuous"/>
    </xf>
    <xf numFmtId="167" fontId="47" fillId="0" borderId="0" xfId="31" applyAlignment="1">
      <alignment horizontal="centerContinuous"/>
    </xf>
    <xf numFmtId="0" fontId="47" fillId="0" borderId="2" xfId="38" applyBorder="1" applyAlignment="1">
      <alignment horizontal="center"/>
    </xf>
    <xf numFmtId="49" fontId="47" fillId="0" borderId="2" xfId="31" applyNumberFormat="1" applyBorder="1" applyAlignment="1">
      <alignment horizontal="center"/>
    </xf>
    <xf numFmtId="0" fontId="47" fillId="0" borderId="0" xfId="38" applyAlignment="1">
      <alignment horizontal="left"/>
    </xf>
    <xf numFmtId="168" fontId="47" fillId="0" borderId="0" xfId="31" applyNumberFormat="1"/>
    <xf numFmtId="167" fontId="47" fillId="0" borderId="0" xfId="31"/>
    <xf numFmtId="0" fontId="48" fillId="0" borderId="0" xfId="38" applyFont="1" applyAlignment="1">
      <alignment horizontal="left"/>
    </xf>
    <xf numFmtId="0" fontId="48" fillId="0" borderId="0" xfId="38" applyFont="1"/>
    <xf numFmtId="167" fontId="48" fillId="0" borderId="0" xfId="31" applyFont="1"/>
    <xf numFmtId="10" fontId="47" fillId="0" borderId="0" xfId="38" applyNumberFormat="1"/>
    <xf numFmtId="10" fontId="0" fillId="11" borderId="0" xfId="58" applyNumberFormat="1" applyFont="1" applyFill="1" applyAlignment="1">
      <alignment horizontal="right"/>
    </xf>
    <xf numFmtId="0" fontId="38" fillId="0" borderId="0" xfId="47" applyFont="1"/>
    <xf numFmtId="49" fontId="7" fillId="0" borderId="0" xfId="16" applyNumberFormat="1" applyFont="1" applyAlignment="1">
      <alignment horizontal="centerContinuous"/>
    </xf>
    <xf numFmtId="167" fontId="7" fillId="0" borderId="0" xfId="16" applyFont="1" applyAlignment="1">
      <alignment horizontal="centerContinuous"/>
    </xf>
    <xf numFmtId="49" fontId="7" fillId="6" borderId="0" xfId="16" applyNumberFormat="1" applyFont="1" applyFill="1" applyAlignment="1">
      <alignment horizontal="centerContinuous"/>
    </xf>
    <xf numFmtId="167" fontId="7" fillId="6" borderId="0" xfId="16" applyFont="1" applyFill="1" applyAlignment="1">
      <alignment horizontal="centerContinuous"/>
    </xf>
    <xf numFmtId="49" fontId="38" fillId="0" borderId="0" xfId="16" applyNumberFormat="1" applyFont="1" applyAlignment="1">
      <alignment horizontal="centerContinuous"/>
    </xf>
    <xf numFmtId="167" fontId="38" fillId="0" borderId="0" xfId="16" applyFont="1" applyAlignment="1">
      <alignment horizontal="centerContinuous"/>
    </xf>
    <xf numFmtId="0" fontId="38" fillId="0" borderId="2" xfId="47" applyFont="1" applyBorder="1" applyAlignment="1">
      <alignment horizontal="center"/>
    </xf>
    <xf numFmtId="49" fontId="38" fillId="0" borderId="2" xfId="16" applyNumberFormat="1" applyFont="1" applyBorder="1" applyAlignment="1">
      <alignment horizontal="center"/>
    </xf>
    <xf numFmtId="0" fontId="38" fillId="0" borderId="0" xfId="47" applyFont="1" applyAlignment="1">
      <alignment horizontal="left"/>
    </xf>
    <xf numFmtId="168" fontId="38" fillId="0" borderId="0" xfId="16" applyNumberFormat="1" applyFont="1"/>
    <xf numFmtId="167" fontId="38" fillId="0" borderId="0" xfId="16" applyFont="1"/>
    <xf numFmtId="0" fontId="7" fillId="0" borderId="0" xfId="47" applyFont="1" applyAlignment="1">
      <alignment horizontal="left"/>
    </xf>
    <xf numFmtId="0" fontId="7" fillId="0" borderId="0" xfId="47" applyFont="1"/>
    <xf numFmtId="167" fontId="7" fillId="0" borderId="0" xfId="16" applyFont="1"/>
    <xf numFmtId="0" fontId="49" fillId="0" borderId="0" xfId="39"/>
    <xf numFmtId="49" fontId="50" fillId="0" borderId="0" xfId="17" applyNumberFormat="1" applyFont="1" applyAlignment="1">
      <alignment horizontal="centerContinuous"/>
    </xf>
    <xf numFmtId="167" fontId="50" fillId="0" borderId="0" xfId="17" applyFont="1" applyAlignment="1">
      <alignment horizontal="centerContinuous"/>
    </xf>
    <xf numFmtId="49" fontId="50" fillId="6" borderId="0" xfId="17" applyNumberFormat="1" applyFont="1" applyFill="1" applyAlignment="1">
      <alignment horizontal="centerContinuous"/>
    </xf>
    <xf numFmtId="167" fontId="50" fillId="6" borderId="0" xfId="17" applyFont="1" applyFill="1" applyAlignment="1">
      <alignment horizontal="centerContinuous"/>
    </xf>
    <xf numFmtId="49" fontId="49" fillId="0" borderId="0" xfId="17" applyNumberFormat="1" applyAlignment="1">
      <alignment horizontal="centerContinuous"/>
    </xf>
    <xf numFmtId="167" fontId="49" fillId="0" borderId="0" xfId="17" applyAlignment="1">
      <alignment horizontal="centerContinuous"/>
    </xf>
    <xf numFmtId="0" fontId="49" fillId="0" borderId="2" xfId="39" applyBorder="1" applyAlignment="1">
      <alignment horizontal="center"/>
    </xf>
    <xf numFmtId="49" fontId="49" fillId="0" borderId="2" xfId="17" applyNumberFormat="1" applyBorder="1" applyAlignment="1">
      <alignment horizontal="center"/>
    </xf>
    <xf numFmtId="0" fontId="49" fillId="0" borderId="0" xfId="39" applyAlignment="1">
      <alignment horizontal="left"/>
    </xf>
    <xf numFmtId="168" fontId="49" fillId="0" borderId="0" xfId="17" applyNumberFormat="1"/>
    <xf numFmtId="167" fontId="49" fillId="0" borderId="0" xfId="17"/>
    <xf numFmtId="0" fontId="50" fillId="0" borderId="0" xfId="39" applyFont="1" applyAlignment="1">
      <alignment horizontal="left"/>
    </xf>
    <xf numFmtId="0" fontId="50" fillId="0" borderId="0" xfId="39" applyFont="1"/>
    <xf numFmtId="167" fontId="50" fillId="0" borderId="0" xfId="17" applyFont="1"/>
    <xf numFmtId="0" fontId="51" fillId="0" borderId="0" xfId="40"/>
    <xf numFmtId="49" fontId="52" fillId="0" borderId="0" xfId="18" applyNumberFormat="1" applyFont="1" applyAlignment="1">
      <alignment horizontal="centerContinuous"/>
    </xf>
    <xf numFmtId="167" fontId="52" fillId="0" borderId="0" xfId="18" applyFont="1" applyAlignment="1">
      <alignment horizontal="centerContinuous"/>
    </xf>
    <xf numFmtId="49" fontId="52" fillId="6" borderId="0" xfId="18" applyNumberFormat="1" applyFont="1" applyFill="1" applyAlignment="1">
      <alignment horizontal="centerContinuous"/>
    </xf>
    <xf numFmtId="167" fontId="52" fillId="6" borderId="0" xfId="18" applyFont="1" applyFill="1" applyAlignment="1">
      <alignment horizontal="centerContinuous"/>
    </xf>
    <xf numFmtId="49" fontId="51" fillId="0" borderId="0" xfId="18" applyNumberFormat="1" applyAlignment="1">
      <alignment horizontal="centerContinuous"/>
    </xf>
    <xf numFmtId="167" fontId="51" fillId="0" borderId="0" xfId="18" applyAlignment="1">
      <alignment horizontal="centerContinuous"/>
    </xf>
    <xf numFmtId="0" fontId="51" fillId="0" borderId="2" xfId="40" applyBorder="1" applyAlignment="1">
      <alignment horizontal="center"/>
    </xf>
    <xf numFmtId="49" fontId="51" fillId="0" borderId="2" xfId="18" applyNumberFormat="1" applyBorder="1" applyAlignment="1">
      <alignment horizontal="center"/>
    </xf>
    <xf numFmtId="0" fontId="51" fillId="0" borderId="0" xfId="40" applyAlignment="1">
      <alignment horizontal="left"/>
    </xf>
    <xf numFmtId="168" fontId="51" fillId="0" borderId="0" xfId="18" applyNumberFormat="1"/>
    <xf numFmtId="167" fontId="51" fillId="0" borderId="0" xfId="18"/>
    <xf numFmtId="0" fontId="52" fillId="0" borderId="0" xfId="40" applyFont="1" applyAlignment="1">
      <alignment horizontal="left"/>
    </xf>
    <xf numFmtId="0" fontId="52" fillId="0" borderId="0" xfId="40" applyFont="1"/>
    <xf numFmtId="167" fontId="52" fillId="0" borderId="0" xfId="18" applyFont="1"/>
    <xf numFmtId="0" fontId="54" fillId="0" borderId="0" xfId="42"/>
    <xf numFmtId="49" fontId="55" fillId="0" borderId="0" xfId="20" applyNumberFormat="1" applyFont="1" applyAlignment="1">
      <alignment horizontal="centerContinuous"/>
    </xf>
    <xf numFmtId="167" fontId="55" fillId="0" borderId="0" xfId="20" applyFont="1" applyAlignment="1">
      <alignment horizontal="centerContinuous"/>
    </xf>
    <xf numFmtId="49" fontId="55" fillId="6" borderId="0" xfId="20" applyNumberFormat="1" applyFont="1" applyFill="1" applyAlignment="1">
      <alignment horizontal="centerContinuous"/>
    </xf>
    <xf numFmtId="167" fontId="55" fillId="6" borderId="0" xfId="20" applyFont="1" applyFill="1" applyAlignment="1">
      <alignment horizontal="centerContinuous"/>
    </xf>
    <xf numFmtId="49" fontId="54" fillId="0" borderId="0" xfId="20" applyNumberFormat="1" applyAlignment="1">
      <alignment horizontal="centerContinuous"/>
    </xf>
    <xf numFmtId="167" fontId="54" fillId="0" borderId="0" xfId="20" applyAlignment="1">
      <alignment horizontal="centerContinuous"/>
    </xf>
    <xf numFmtId="0" fontId="54" fillId="0" borderId="2" xfId="42" applyBorder="1" applyAlignment="1">
      <alignment horizontal="center"/>
    </xf>
    <xf numFmtId="49" fontId="54" fillId="0" borderId="2" xfId="20" applyNumberFormat="1" applyBorder="1" applyAlignment="1">
      <alignment horizontal="center"/>
    </xf>
    <xf numFmtId="0" fontId="54" fillId="0" borderId="0" xfId="42" applyAlignment="1">
      <alignment horizontal="left"/>
    </xf>
    <xf numFmtId="168" fontId="54" fillId="0" borderId="0" xfId="20" applyNumberFormat="1"/>
    <xf numFmtId="167" fontId="54" fillId="0" borderId="0" xfId="20"/>
    <xf numFmtId="0" fontId="55" fillId="0" borderId="0" xfId="42" applyFont="1" applyAlignment="1">
      <alignment horizontal="left"/>
    </xf>
    <xf numFmtId="0" fontId="55" fillId="0" borderId="0" xfId="42" applyFont="1"/>
    <xf numFmtId="167" fontId="55" fillId="0" borderId="0" xfId="20" applyFont="1"/>
    <xf numFmtId="43" fontId="54" fillId="0" borderId="0" xfId="1" applyFont="1"/>
    <xf numFmtId="43" fontId="54" fillId="0" borderId="0" xfId="42" applyNumberFormat="1"/>
    <xf numFmtId="0" fontId="2" fillId="0" borderId="2" xfId="0" applyFont="1" applyFill="1" applyBorder="1"/>
    <xf numFmtId="0" fontId="56" fillId="0" borderId="0" xfId="43"/>
    <xf numFmtId="0" fontId="57" fillId="0" borderId="0" xfId="43" applyFont="1" applyAlignment="1">
      <alignment horizontal="centerContinuous"/>
    </xf>
    <xf numFmtId="167" fontId="57" fillId="0" borderId="0" xfId="21" applyFont="1" applyAlignment="1">
      <alignment horizontal="centerContinuous"/>
    </xf>
    <xf numFmtId="0" fontId="57" fillId="6" borderId="0" xfId="43" applyFont="1" applyFill="1" applyAlignment="1">
      <alignment horizontal="centerContinuous"/>
    </xf>
    <xf numFmtId="167" fontId="57" fillId="6" borderId="0" xfId="21" applyFont="1" applyFill="1" applyAlignment="1">
      <alignment horizontal="centerContinuous"/>
    </xf>
    <xf numFmtId="0" fontId="56" fillId="0" borderId="0" xfId="43" applyAlignment="1">
      <alignment horizontal="centerContinuous"/>
    </xf>
    <xf numFmtId="167" fontId="56" fillId="0" borderId="0" xfId="21" applyAlignment="1">
      <alignment horizontal="centerContinuous"/>
    </xf>
    <xf numFmtId="0" fontId="56" fillId="0" borderId="2" xfId="43" applyBorder="1" applyAlignment="1">
      <alignment horizontal="center"/>
    </xf>
    <xf numFmtId="49" fontId="56" fillId="0" borderId="2" xfId="21" applyNumberFormat="1" applyBorder="1" applyAlignment="1">
      <alignment horizontal="center"/>
    </xf>
    <xf numFmtId="0" fontId="56" fillId="0" borderId="0" xfId="43" applyAlignment="1">
      <alignment horizontal="left"/>
    </xf>
    <xf numFmtId="168" fontId="56" fillId="0" borderId="0" xfId="21" applyNumberFormat="1"/>
    <xf numFmtId="167" fontId="56" fillId="0" borderId="0" xfId="21"/>
    <xf numFmtId="0" fontId="57" fillId="0" borderId="0" xfId="43" applyFont="1" applyAlignment="1">
      <alignment horizontal="left"/>
    </xf>
    <xf numFmtId="0" fontId="57" fillId="0" borderId="0" xfId="43" applyFont="1"/>
    <xf numFmtId="167" fontId="57" fillId="0" borderId="0" xfId="21" applyFont="1"/>
    <xf numFmtId="0" fontId="57" fillId="0" borderId="0" xfId="55" applyFont="1" applyAlignment="1">
      <alignment horizontal="centerContinuous"/>
    </xf>
    <xf numFmtId="0" fontId="57" fillId="6" borderId="0" xfId="55" applyFont="1" applyFill="1" applyAlignment="1">
      <alignment horizontal="centerContinuous"/>
    </xf>
    <xf numFmtId="0" fontId="64" fillId="0" borderId="0" xfId="55" applyAlignment="1">
      <alignment horizontal="centerContinuous"/>
    </xf>
    <xf numFmtId="0" fontId="64" fillId="0" borderId="2" xfId="55" applyBorder="1" applyAlignment="1">
      <alignment horizontal="center"/>
    </xf>
    <xf numFmtId="0" fontId="64" fillId="0" borderId="0" xfId="55" applyAlignment="1">
      <alignment horizontal="left"/>
    </xf>
    <xf numFmtId="0" fontId="57" fillId="0" borderId="0" xfId="55" applyFont="1" applyAlignment="1">
      <alignment horizontal="left"/>
    </xf>
    <xf numFmtId="0" fontId="57" fillId="0" borderId="0" xfId="55" applyFont="1"/>
    <xf numFmtId="164" fontId="1" fillId="0" borderId="0" xfId="7" applyNumberFormat="1" applyFill="1"/>
    <xf numFmtId="9" fontId="2" fillId="0" borderId="0" xfId="7" applyNumberFormat="1" applyFont="1" applyFill="1"/>
    <xf numFmtId="0" fontId="58" fillId="0" borderId="0" xfId="0" applyFont="1" applyAlignment="1">
      <alignment horizontal="centerContinuous"/>
    </xf>
    <xf numFmtId="167" fontId="58" fillId="0" borderId="0" xfId="16" applyFont="1" applyAlignment="1">
      <alignment horizontal="centerContinuous"/>
    </xf>
    <xf numFmtId="0" fontId="58" fillId="6" borderId="0" xfId="0" applyFont="1" applyFill="1" applyAlignment="1">
      <alignment horizontal="centerContinuous"/>
    </xf>
    <xf numFmtId="167" fontId="58" fillId="6" borderId="0" xfId="16" applyFont="1" applyFill="1" applyAlignment="1">
      <alignment horizontal="centerContinuous"/>
    </xf>
    <xf numFmtId="0" fontId="60" fillId="0" borderId="0" xfId="45"/>
    <xf numFmtId="0" fontId="61" fillId="0" borderId="0" xfId="45" applyFont="1" applyAlignment="1">
      <alignment horizontal="centerContinuous"/>
    </xf>
    <xf numFmtId="167" fontId="61" fillId="0" borderId="0" xfId="23" applyFont="1" applyAlignment="1">
      <alignment horizontal="centerContinuous"/>
    </xf>
    <xf numFmtId="0" fontId="61" fillId="6" borderId="0" xfId="45" applyFont="1" applyFill="1" applyAlignment="1">
      <alignment horizontal="centerContinuous"/>
    </xf>
    <xf numFmtId="167" fontId="61" fillId="6" borderId="0" xfId="23" applyFont="1" applyFill="1" applyAlignment="1">
      <alignment horizontal="centerContinuous"/>
    </xf>
    <xf numFmtId="0" fontId="60" fillId="0" borderId="0" xfId="45" applyAlignment="1">
      <alignment horizontal="centerContinuous"/>
    </xf>
    <xf numFmtId="167" fontId="60" fillId="0" borderId="0" xfId="23" applyAlignment="1">
      <alignment horizontal="centerContinuous"/>
    </xf>
    <xf numFmtId="0" fontId="60" fillId="0" borderId="2" xfId="45" applyBorder="1" applyAlignment="1">
      <alignment horizontal="center"/>
    </xf>
    <xf numFmtId="49" fontId="60" fillId="0" borderId="2" xfId="23" applyNumberFormat="1" applyBorder="1" applyAlignment="1">
      <alignment horizontal="center"/>
    </xf>
    <xf numFmtId="0" fontId="60" fillId="0" borderId="0" xfId="45" applyAlignment="1">
      <alignment horizontal="left"/>
    </xf>
    <xf numFmtId="168" fontId="60" fillId="0" borderId="0" xfId="23" applyNumberFormat="1"/>
    <xf numFmtId="167" fontId="60" fillId="0" borderId="0" xfId="23"/>
    <xf numFmtId="0" fontId="61" fillId="0" borderId="0" xfId="45" applyFont="1" applyAlignment="1">
      <alignment horizontal="left"/>
    </xf>
    <xf numFmtId="0" fontId="61" fillId="0" borderId="0" xfId="45" applyFont="1"/>
    <xf numFmtId="167" fontId="61" fillId="0" borderId="0" xfId="23" applyFont="1"/>
    <xf numFmtId="0" fontId="61" fillId="0" borderId="0" xfId="0" applyFont="1" applyAlignment="1">
      <alignment horizontal="centerContinuous"/>
    </xf>
    <xf numFmtId="0" fontId="61" fillId="6" borderId="0" xfId="0" applyFont="1" applyFill="1" applyAlignment="1">
      <alignment horizontal="centerContinuous"/>
    </xf>
    <xf numFmtId="0" fontId="61" fillId="0" borderId="0" xfId="0" applyFont="1" applyAlignment="1">
      <alignment horizontal="left"/>
    </xf>
    <xf numFmtId="0" fontId="61" fillId="0" borderId="0" xfId="0" applyFont="1"/>
    <xf numFmtId="0" fontId="0" fillId="6" borderId="0" xfId="0" applyFill="1" applyAlignment="1">
      <alignment horizontal="centerContinuous"/>
    </xf>
    <xf numFmtId="167" fontId="34" fillId="6" borderId="0" xfId="16" applyFill="1" applyAlignment="1">
      <alignment horizontal="centerContinuous"/>
    </xf>
    <xf numFmtId="0" fontId="62" fillId="2" borderId="0" xfId="0" applyFont="1" applyFill="1" applyAlignment="1">
      <alignment horizontal="centerContinuous"/>
    </xf>
    <xf numFmtId="167" fontId="62" fillId="2" borderId="0" xfId="16" applyFont="1" applyFill="1" applyAlignment="1">
      <alignment horizontal="centerContinuous"/>
    </xf>
    <xf numFmtId="0" fontId="0" fillId="6" borderId="0" xfId="0" applyFill="1" applyAlignment="1">
      <alignment horizontal="left"/>
    </xf>
    <xf numFmtId="0" fontId="0" fillId="6" borderId="0" xfId="0" applyFill="1"/>
    <xf numFmtId="167" fontId="34" fillId="6" borderId="0" xfId="16" applyFill="1"/>
    <xf numFmtId="0" fontId="63" fillId="2" borderId="0" xfId="0" applyFont="1" applyFill="1" applyAlignment="1">
      <alignment horizontal="centerContinuous"/>
    </xf>
    <xf numFmtId="167" fontId="63" fillId="2" borderId="0" xfId="16" applyFont="1" applyFill="1" applyAlignment="1">
      <alignment horizontal="centerContinuous"/>
    </xf>
    <xf numFmtId="0" fontId="33" fillId="2" borderId="0" xfId="0" applyFont="1" applyFill="1" applyAlignment="1">
      <alignment horizontal="centerContinuous"/>
    </xf>
    <xf numFmtId="167" fontId="33" fillId="2" borderId="0" xfId="16" applyFont="1" applyFill="1" applyAlignment="1">
      <alignment horizontal="centerContinuous"/>
    </xf>
    <xf numFmtId="0" fontId="70" fillId="2" borderId="0" xfId="0" applyFont="1" applyFill="1" applyAlignment="1">
      <alignment horizontal="centerContinuous"/>
    </xf>
    <xf numFmtId="167" fontId="70" fillId="2" borderId="0" xfId="16" applyFont="1" applyFill="1" applyAlignment="1">
      <alignment horizontal="centerContinuous"/>
    </xf>
    <xf numFmtId="37" fontId="1" fillId="0" borderId="0" xfId="7" applyNumberFormat="1" applyFill="1"/>
    <xf numFmtId="37" fontId="1" fillId="0" borderId="0" xfId="7" applyNumberFormat="1" applyFill="1" applyBorder="1"/>
    <xf numFmtId="37" fontId="4" fillId="0" borderId="0" xfId="7" applyNumberFormat="1" applyFont="1" applyFill="1" applyBorder="1"/>
    <xf numFmtId="0" fontId="71" fillId="2" borderId="0" xfId="0" applyFont="1" applyFill="1" applyAlignment="1">
      <alignment horizontal="centerContinuous"/>
    </xf>
    <xf numFmtId="167" fontId="71" fillId="2" borderId="0" xfId="16" applyFont="1" applyFill="1" applyAlignment="1">
      <alignment horizontal="centerContinuous"/>
    </xf>
    <xf numFmtId="0" fontId="72" fillId="2" borderId="0" xfId="0" applyFont="1" applyFill="1" applyAlignment="1">
      <alignment horizontal="centerContinuous"/>
    </xf>
    <xf numFmtId="167" fontId="72" fillId="2" borderId="0" xfId="16" applyFont="1" applyFill="1" applyAlignment="1">
      <alignment horizontal="centerContinuous"/>
    </xf>
    <xf numFmtId="0" fontId="73" fillId="2" borderId="0" xfId="0" applyFont="1" applyFill="1" applyAlignment="1">
      <alignment horizontal="centerContinuous"/>
    </xf>
    <xf numFmtId="167" fontId="73" fillId="2" borderId="0" xfId="16" applyFont="1" applyFill="1" applyAlignment="1">
      <alignment horizontal="centerContinuous"/>
    </xf>
    <xf numFmtId="0" fontId="74" fillId="2" borderId="0" xfId="0" applyFont="1" applyFill="1" applyAlignment="1">
      <alignment horizontal="centerContinuous"/>
    </xf>
    <xf numFmtId="167" fontId="74" fillId="2" borderId="0" xfId="16" applyFont="1" applyFill="1" applyAlignment="1">
      <alignment horizontal="centerContinuous"/>
    </xf>
    <xf numFmtId="37" fontId="4" fillId="0" borderId="3" xfId="7" applyNumberFormat="1" applyFont="1" applyFill="1" applyBorder="1"/>
    <xf numFmtId="0" fontId="1" fillId="0" borderId="0" xfId="0" applyFont="1" applyFill="1"/>
    <xf numFmtId="0" fontId="1" fillId="0" borderId="0" xfId="7" applyNumberFormat="1" applyFill="1" applyAlignment="1">
      <alignment horizontal="center"/>
    </xf>
    <xf numFmtId="39" fontId="1" fillId="0" borderId="2" xfId="7" applyFill="1" applyBorder="1" applyAlignment="1">
      <alignment horizontal="center"/>
    </xf>
    <xf numFmtId="39" fontId="1" fillId="0" borderId="0" xfId="7" applyFill="1" applyBorder="1" applyAlignment="1">
      <alignment horizontal="center"/>
    </xf>
    <xf numFmtId="37" fontId="0" fillId="0" borderId="0" xfId="0" applyNumberFormat="1" applyFill="1"/>
    <xf numFmtId="43" fontId="1" fillId="0" borderId="0" xfId="7" applyNumberFormat="1" applyFill="1"/>
    <xf numFmtId="10" fontId="1" fillId="0" borderId="0" xfId="56" applyNumberFormat="1" applyFill="1"/>
    <xf numFmtId="37" fontId="4" fillId="0" borderId="14" xfId="7" applyNumberFormat="1" applyFont="1" applyFill="1" applyBorder="1"/>
    <xf numFmtId="37" fontId="2" fillId="0" borderId="0" xfId="7" applyNumberFormat="1" applyFont="1" applyFill="1"/>
    <xf numFmtId="9" fontId="1" fillId="0" borderId="0" xfId="56" applyFill="1"/>
    <xf numFmtId="4" fontId="1" fillId="0" borderId="0" xfId="7" applyNumberFormat="1" applyFill="1"/>
    <xf numFmtId="43" fontId="1" fillId="0" borderId="0" xfId="1" applyFill="1"/>
    <xf numFmtId="164" fontId="5" fillId="0" borderId="0" xfId="7" applyNumberFormat="1" applyFont="1" applyFill="1"/>
    <xf numFmtId="43" fontId="2" fillId="0" borderId="0" xfId="1" applyFont="1" applyFill="1"/>
    <xf numFmtId="43" fontId="68" fillId="0" borderId="0" xfId="1" applyFont="1" applyFill="1"/>
    <xf numFmtId="4" fontId="2" fillId="0" borderId="0" xfId="7" applyNumberFormat="1" applyFont="1" applyFill="1"/>
    <xf numFmtId="164" fontId="2" fillId="0" borderId="0" xfId="7" applyNumberFormat="1" applyFont="1" applyFill="1"/>
    <xf numFmtId="37" fontId="5" fillId="0" borderId="0" xfId="7" applyNumberFormat="1" applyFont="1" applyFill="1" applyBorder="1"/>
    <xf numFmtId="164" fontId="0" fillId="0" borderId="0" xfId="0" applyNumberFormat="1" applyFill="1"/>
    <xf numFmtId="43" fontId="4" fillId="0" borderId="0" xfId="7" applyNumberFormat="1" applyFont="1" applyFill="1"/>
    <xf numFmtId="39" fontId="2" fillId="0" borderId="0" xfId="7" applyFont="1" applyFill="1" applyAlignment="1">
      <alignment horizontal="centerContinuous"/>
    </xf>
    <xf numFmtId="39" fontId="2" fillId="0" borderId="0" xfId="7" applyFont="1" applyFill="1" applyAlignment="1">
      <alignment horizontal="centerContinuous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2" fillId="0" borderId="0" xfId="7" applyNumberFormat="1" applyFont="1" applyFill="1" applyAlignment="1">
      <alignment horizontal="center"/>
    </xf>
    <xf numFmtId="0" fontId="5" fillId="7" borderId="1" xfId="46" applyFill="1" applyBorder="1"/>
  </cellXfs>
  <cellStyles count="89">
    <cellStyle name="Comma" xfId="1" builtinId="3"/>
    <cellStyle name="Comma 14" xfId="2"/>
    <cellStyle name="Comma 2" xfId="3"/>
    <cellStyle name="Comma 2 2 2" xfId="4"/>
    <cellStyle name="Comma 3" xfId="5"/>
    <cellStyle name="Comma 4" xfId="6"/>
    <cellStyle name="Comma_Copy of ACCRUAL TEMPLATE" xfId="7"/>
    <cellStyle name="Comma_Copy of ACCRUAL TEMPLATE 2" xfId="8"/>
    <cellStyle name="Currency" xfId="9" builtinId="4"/>
    <cellStyle name="Currency 10 2" xfId="10"/>
    <cellStyle name="Currency 2" xfId="11"/>
    <cellStyle name="Currency 2 17" xfId="12"/>
    <cellStyle name="Currency 2 2 2" xfId="13"/>
    <cellStyle name="Currency 3" xfId="14"/>
    <cellStyle name="Currency 33 2" xfId="15"/>
    <cellStyle name="FRxAmtStyle" xfId="16"/>
    <cellStyle name="FRxAmtStyle 10" xfId="17"/>
    <cellStyle name="FRxAmtStyle 11" xfId="18"/>
    <cellStyle name="FRxAmtStyle 12" xfId="19"/>
    <cellStyle name="FRxAmtStyle 13" xfId="20"/>
    <cellStyle name="FRxAmtStyle 14" xfId="21"/>
    <cellStyle name="FRxAmtStyle 15" xfId="22"/>
    <cellStyle name="FRxAmtStyle 16" xfId="23"/>
    <cellStyle name="FRxAmtStyle 2" xfId="24"/>
    <cellStyle name="FRxAmtStyle 3" xfId="25"/>
    <cellStyle name="FRxAmtStyle 4" xfId="26"/>
    <cellStyle name="FRxAmtStyle 5" xfId="27"/>
    <cellStyle name="FRxAmtStyle 6" xfId="28"/>
    <cellStyle name="FRxAmtStyle 7" xfId="29"/>
    <cellStyle name="FRxAmtStyle 8" xfId="30"/>
    <cellStyle name="FRxAmtStyle 9" xfId="31"/>
    <cellStyle name="FRxCurrStyle" xfId="32"/>
    <cellStyle name="FRxPcntStyle" xfId="33"/>
    <cellStyle name="Heading" xfId="34"/>
    <cellStyle name="Normal" xfId="0" builtinId="0"/>
    <cellStyle name="Normal 10" xfId="35"/>
    <cellStyle name="Normal 10 2" xfId="36"/>
    <cellStyle name="Normal 11" xfId="37"/>
    <cellStyle name="Normal 12" xfId="38"/>
    <cellStyle name="Normal 13" xfId="39"/>
    <cellStyle name="Normal 14" xfId="40"/>
    <cellStyle name="Normal 15" xfId="41"/>
    <cellStyle name="Normal 16" xfId="42"/>
    <cellStyle name="Normal 17" xfId="43"/>
    <cellStyle name="Normal 18" xfId="44"/>
    <cellStyle name="Normal 19" xfId="45"/>
    <cellStyle name="Normal 2" xfId="46"/>
    <cellStyle name="Normal 20" xfId="88"/>
    <cellStyle name="Normal 3" xfId="47"/>
    <cellStyle name="Normal 4" xfId="48"/>
    <cellStyle name="Normal 5" xfId="49"/>
    <cellStyle name="Normal 6" xfId="50"/>
    <cellStyle name="Normal 7" xfId="51"/>
    <cellStyle name="Normal 8" xfId="52"/>
    <cellStyle name="Normal 9" xfId="53"/>
    <cellStyle name="Normal_Comprehensive Reconciliation July '02_November 2005 Comp Pay Recon" xfId="54"/>
    <cellStyle name="Normal_Sheet1" xfId="55"/>
    <cellStyle name="Percent" xfId="56" builtinId="5"/>
    <cellStyle name="Percent (0)" xfId="57"/>
    <cellStyle name="Percent 2" xfId="58"/>
    <cellStyle name="STYLE1" xfId="59"/>
    <cellStyle name="STYLE1 2" xfId="60"/>
    <cellStyle name="STYLE1_2011 Accrual Monthly" xfId="61"/>
    <cellStyle name="STYLE1_Sheet1" xfId="62"/>
    <cellStyle name="STYLE2" xfId="63"/>
    <cellStyle name="STYLE2 2" xfId="64"/>
    <cellStyle name="STYLE2_2011 Accrual Monthly" xfId="65"/>
    <cellStyle name="STYLE2_Sheet1" xfId="66"/>
    <cellStyle name="STYLE2_TB Connie 2-28-2009" xfId="67"/>
    <cellStyle name="STYLE2_TB Connie January 09" xfId="68"/>
    <cellStyle name="STYLE2_TB Dec 08" xfId="69"/>
    <cellStyle name="STYLE3" xfId="70"/>
    <cellStyle name="STYLE3 2" xfId="71"/>
    <cellStyle name="STYLE3_2011 Accrual Monthly" xfId="72"/>
    <cellStyle name="STYLE3_Sheet1" xfId="73"/>
    <cellStyle name="STYLE3_TB Connie 2-28-2009" xfId="74"/>
    <cellStyle name="STYLE3_TB Connie January 09" xfId="75"/>
    <cellStyle name="STYLE3_TB Dec 08" xfId="76"/>
    <cellStyle name="STYLE4" xfId="77"/>
    <cellStyle name="STYLE4 2" xfId="78"/>
    <cellStyle name="STYLE4 3" xfId="79"/>
    <cellStyle name="STYLE4_2011 Accrual Monthly" xfId="80"/>
    <cellStyle name="STYLE4_Sheet1" xfId="81"/>
    <cellStyle name="STYLE4_TB Connie 2-28-2009" xfId="82"/>
    <cellStyle name="STYLE4_TB Connie January 09" xfId="83"/>
    <cellStyle name="STYLE4_TB Dec 08" xfId="84"/>
    <cellStyle name="STYLE5" xfId="85"/>
    <cellStyle name="STYLE6" xfId="86"/>
    <cellStyle name="Tickmark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2.xml"/><Relationship Id="rId89" Type="http://schemas.openxmlformats.org/officeDocument/2006/relationships/externalLink" Target="externalLinks/externalLink7.xml"/><Relationship Id="rId112" Type="http://schemas.openxmlformats.org/officeDocument/2006/relationships/externalLink" Target="externalLinks/externalLink30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2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externalLink" Target="externalLinks/externalLink5.xml"/><Relationship Id="rId102" Type="http://schemas.openxmlformats.org/officeDocument/2006/relationships/externalLink" Target="externalLinks/externalLink20.xml"/><Relationship Id="rId110" Type="http://schemas.openxmlformats.org/officeDocument/2006/relationships/externalLink" Target="externalLinks/externalLink28.xml"/><Relationship Id="rId1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externalLink" Target="externalLinks/externalLink8.xml"/><Relationship Id="rId95" Type="http://schemas.openxmlformats.org/officeDocument/2006/relationships/externalLink" Target="externalLinks/externalLink1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externalLink" Target="externalLinks/externalLink18.xml"/><Relationship Id="rId105" Type="http://schemas.openxmlformats.org/officeDocument/2006/relationships/externalLink" Target="externalLinks/externalLink23.xml"/><Relationship Id="rId113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3.xml"/><Relationship Id="rId93" Type="http://schemas.openxmlformats.org/officeDocument/2006/relationships/externalLink" Target="externalLinks/externalLink11.xml"/><Relationship Id="rId98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externalLink" Target="externalLinks/externalLink21.xml"/><Relationship Id="rId108" Type="http://schemas.openxmlformats.org/officeDocument/2006/relationships/externalLink" Target="externalLinks/externalLink26.xml"/><Relationship Id="rId11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1.xml"/><Relationship Id="rId88" Type="http://schemas.openxmlformats.org/officeDocument/2006/relationships/externalLink" Target="externalLinks/externalLink6.xml"/><Relationship Id="rId91" Type="http://schemas.openxmlformats.org/officeDocument/2006/relationships/externalLink" Target="externalLinks/externalLink9.xml"/><Relationship Id="rId96" Type="http://schemas.openxmlformats.org/officeDocument/2006/relationships/externalLink" Target="externalLinks/externalLink14.xml"/><Relationship Id="rId11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externalLink" Target="externalLinks/externalLink24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4.xml"/><Relationship Id="rId94" Type="http://schemas.openxmlformats.org/officeDocument/2006/relationships/externalLink" Target="externalLinks/externalLink12.xml"/><Relationship Id="rId99" Type="http://schemas.openxmlformats.org/officeDocument/2006/relationships/externalLink" Target="externalLinks/externalLink17.xml"/><Relationship Id="rId10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27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15.xml"/><Relationship Id="rId10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isbursements\Data\Disb%20P%20&amp;%20P\QC\QC%20Sign-Off%20SLD-RH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M04%20-%20ACCRUAL%20-%20Fund%20Balance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7%20Fund%20Balance%20-%20Cash%20and%20Accrual\M04%20-%20ACCRUAL%20-%20Fund%20Balance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ing_Finance\Accounting_Finance%20-%20USF%20-%20estarks%20(7%20years%20from%20D.L.M.)\FY%202008\02-29-08%20EOM%20Closing%20Files\USF%20Trial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Accounting%20-%20USF\Month%20End%20Close\FY%20-%202008%20EOM%20CLOSING%20FILES\04-30-08%20EOM%20Closing%20Files\April%20T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c.loc\data\work\Finance\Private\Accounting%20-%20USF\Month%20End%20Close\FY%20-%202008%20EOM%20CLOSING%20FILES\06-30-08%20EOM%20Closing%20Files\June%20T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Aug%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Sep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TB%2010%2030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8%20Fund%20Balance%20-%20Cash%20and%20Accrual\Nov%2008%20T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6%20Fund%20Balance%20-%20Cash%20and%20Accrual\ACCRUAL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7%20Fund%20Balance%20-%20Cash%20and%20Accrual\M04%20Reconcilaition%20to%20Trial%20Balanc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ounting_Finance\Accounting_Finance%20-%20USF%20-%20estarks%20(7%20years%20from%20D.L.M.)\FY%202008\12-31-07%20EOM%20Closing%20Files\Trial%20Balance\Dec%20EOM%20Trial%20Balance%20(Final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M04%20-%20ACCRUAL%20-%20Fund%20Balance%20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B%20July%200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Anti%20Def%20Analysis\Obligation%20Analysis\200908\TB%20SLD%20Trans%20DTL%2008%200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TB%2010%2030%2020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Nov%2008%20T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ann\Local%20Settings\Temporary%20Internet%20Files\Content.Outlook\BBC9H1PC\TB%20Dec%207-12-201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ublic\Finance%20-%20RAP%20Group\Fund%20Balance%20-%20M03%20and%20M04\2009%20Fund%20Balance%202009%20Cash%20and%20Accrual\TB%20December%200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3%20EOM%20CLOSING%20FILES\12-31-12%20EOM%20CLOSING%20FILES\TB%20-%20Dec%202012%20-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4%20EOM%20CLOSING%20FILES\08-31-14%20EOM%20CLOSING%20FILES\08-2014%20Transaction%20Summary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3%20EOM%20CLOSING%20FILES\11-30-12%20EOM%20CLOSING%20FILES\TB%20-%20November%202012%20-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ann\Local%20Settings\Temporary%20Internet%20Files\Content.Outlook\BBC9H1PC\TR%20224%20May%202010_F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Accrual Quarterly"/>
      <sheetName val="2008 Accrual Monthly"/>
      <sheetName val="TB Dec 08"/>
      <sheetName val="Aug TB"/>
      <sheetName val="July TB"/>
      <sheetName val="June TB"/>
      <sheetName val="May TB Final"/>
      <sheetName val="April TB Final"/>
      <sheetName val="March TB "/>
      <sheetName val="Feb TB"/>
      <sheetName val="Jan 2008 TB (Final)"/>
      <sheetName val="2007 Accrual Monthly"/>
    </sheetNames>
    <sheetDataSet>
      <sheetData sheetId="0">
        <row r="80">
          <cell r="B80">
            <v>4908481566.2443714</v>
          </cell>
          <cell r="C80">
            <v>488775523.52157551</v>
          </cell>
          <cell r="D80">
            <v>110336252.55612475</v>
          </cell>
          <cell r="E80">
            <v>288391402.5450232</v>
          </cell>
        </row>
      </sheetData>
      <sheetData sheetId="1"/>
      <sheetData sheetId="2">
        <row r="9">
          <cell r="D9">
            <v>187626532.36000001</v>
          </cell>
        </row>
        <row r="10">
          <cell r="D10">
            <v>370513674.38</v>
          </cell>
        </row>
        <row r="11">
          <cell r="D11">
            <v>66289073.159999996</v>
          </cell>
        </row>
        <row r="12">
          <cell r="D12">
            <v>12495759.289999999</v>
          </cell>
        </row>
        <row r="13">
          <cell r="D13">
            <v>0</v>
          </cell>
        </row>
        <row r="14">
          <cell r="D14">
            <v>636925039.18999994</v>
          </cell>
          <cell r="E14">
            <v>1916280407.9100001</v>
          </cell>
        </row>
        <row r="16">
          <cell r="D16">
            <v>155249.91</v>
          </cell>
        </row>
        <row r="17">
          <cell r="D17">
            <v>313757.83</v>
          </cell>
        </row>
        <row r="18">
          <cell r="D18">
            <v>56367.97</v>
          </cell>
        </row>
        <row r="19">
          <cell r="D19">
            <v>14580.64</v>
          </cell>
        </row>
        <row r="20">
          <cell r="D20">
            <v>539956.35</v>
          </cell>
          <cell r="E20">
            <v>1422856.21</v>
          </cell>
        </row>
        <row r="22">
          <cell r="D22">
            <v>49828.32</v>
          </cell>
        </row>
        <row r="23">
          <cell r="D23">
            <v>101063.4</v>
          </cell>
        </row>
        <row r="24">
          <cell r="D24">
            <v>18062.57</v>
          </cell>
        </row>
        <row r="25">
          <cell r="D25">
            <v>4724.04</v>
          </cell>
        </row>
        <row r="26">
          <cell r="D26">
            <v>173678.33000000002</v>
          </cell>
          <cell r="E26">
            <v>613191.48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13232.04</v>
          </cell>
        </row>
        <row r="35">
          <cell r="D35">
            <v>1471913.23</v>
          </cell>
        </row>
        <row r="36">
          <cell r="D36">
            <v>262976.58</v>
          </cell>
        </row>
        <row r="37">
          <cell r="D37">
            <v>68858.990000000005</v>
          </cell>
        </row>
        <row r="38">
          <cell r="D38">
            <v>1816980.84</v>
          </cell>
          <cell r="E38">
            <v>-754445.27000000014</v>
          </cell>
        </row>
        <row r="40">
          <cell r="D40">
            <v>-143164504.66999999</v>
          </cell>
        </row>
        <row r="41">
          <cell r="D41">
            <v>-421898170</v>
          </cell>
        </row>
        <row r="42">
          <cell r="D42">
            <v>-67041004</v>
          </cell>
        </row>
        <row r="43">
          <cell r="D43">
            <v>-2458361.5499999998</v>
          </cell>
        </row>
        <row r="44">
          <cell r="D44">
            <v>-634562040.21999991</v>
          </cell>
          <cell r="E44">
            <v>-1948106988.5900002</v>
          </cell>
        </row>
        <row r="46">
          <cell r="D46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6">
          <cell r="D56">
            <v>-9941372.9499999993</v>
          </cell>
        </row>
        <row r="57">
          <cell r="D57">
            <v>-4228066.96</v>
          </cell>
        </row>
        <row r="58">
          <cell r="D58">
            <v>-318177.17</v>
          </cell>
        </row>
        <row r="59">
          <cell r="D59">
            <v>-745215.3</v>
          </cell>
        </row>
        <row r="60">
          <cell r="D60">
            <v>-15232832.380000001</v>
          </cell>
          <cell r="E60">
            <v>-30178890.229999997</v>
          </cell>
        </row>
        <row r="62">
          <cell r="D62">
            <v>6121965.1699999999</v>
          </cell>
        </row>
        <row r="63">
          <cell r="D63">
            <v>587189.65</v>
          </cell>
        </row>
        <row r="64">
          <cell r="D64">
            <v>223511.17</v>
          </cell>
        </row>
        <row r="65">
          <cell r="D65">
            <v>368416.9</v>
          </cell>
        </row>
        <row r="66">
          <cell r="D66">
            <v>7301082.8900000006</v>
          </cell>
          <cell r="E66">
            <v>24285145.859999999</v>
          </cell>
        </row>
        <row r="68">
          <cell r="D68">
            <v>-3038134.9999998715</v>
          </cell>
        </row>
      </sheetData>
      <sheetData sheetId="3"/>
      <sheetData sheetId="4">
        <row r="208">
          <cell r="F208">
            <v>-593.17999999999995</v>
          </cell>
          <cell r="G208">
            <v>-5182.07</v>
          </cell>
        </row>
        <row r="209">
          <cell r="F209">
            <v>-1254</v>
          </cell>
          <cell r="G209">
            <v>-8064.08</v>
          </cell>
        </row>
        <row r="210">
          <cell r="F210">
            <v>-221.18</v>
          </cell>
          <cell r="G210">
            <v>-2134.5700000000002</v>
          </cell>
        </row>
        <row r="211">
          <cell r="F211">
            <v>-56.52</v>
          </cell>
          <cell r="G211">
            <v>-391.32</v>
          </cell>
        </row>
        <row r="212">
          <cell r="F212">
            <v>-7721240.0999999996</v>
          </cell>
          <cell r="G212">
            <v>-118166513.84999999</v>
          </cell>
        </row>
        <row r="213">
          <cell r="F213">
            <v>-668268.94999999995</v>
          </cell>
          <cell r="G213">
            <v>-12350730.02</v>
          </cell>
        </row>
        <row r="214">
          <cell r="F214">
            <v>-275981.49</v>
          </cell>
          <cell r="G214">
            <v>-4662527.91</v>
          </cell>
        </row>
        <row r="215">
          <cell r="F215">
            <v>-355091.95</v>
          </cell>
          <cell r="G215">
            <v>-4741788.55</v>
          </cell>
        </row>
        <row r="216">
          <cell r="F216">
            <v>156075.19</v>
          </cell>
          <cell r="G216">
            <v>-868102.09</v>
          </cell>
        </row>
        <row r="217">
          <cell r="F217">
            <v>329872.48</v>
          </cell>
          <cell r="G217">
            <v>-1818116.61</v>
          </cell>
        </row>
        <row r="218">
          <cell r="F218">
            <v>58190.32</v>
          </cell>
          <cell r="G218">
            <v>-350023.13</v>
          </cell>
        </row>
        <row r="219">
          <cell r="F219">
            <v>14874.66</v>
          </cell>
          <cell r="G219">
            <v>-58561.84</v>
          </cell>
        </row>
        <row r="220">
          <cell r="F220">
            <v>-196478.1</v>
          </cell>
          <cell r="G220">
            <v>-257135.68</v>
          </cell>
        </row>
        <row r="221">
          <cell r="F221">
            <v>-415264.03</v>
          </cell>
          <cell r="G221">
            <v>-555180.65</v>
          </cell>
        </row>
        <row r="222">
          <cell r="F222">
            <v>-73257</v>
          </cell>
          <cell r="G222">
            <v>-95547.01</v>
          </cell>
        </row>
        <row r="223">
          <cell r="F223">
            <v>-18719.060000000001</v>
          </cell>
          <cell r="G223">
            <v>-25053.51</v>
          </cell>
        </row>
        <row r="224">
          <cell r="F224">
            <v>0</v>
          </cell>
          <cell r="G224">
            <v>-447.64</v>
          </cell>
        </row>
        <row r="225">
          <cell r="F225">
            <v>0</v>
          </cell>
          <cell r="G225">
            <v>-965.48</v>
          </cell>
        </row>
        <row r="226">
          <cell r="F226">
            <v>0</v>
          </cell>
          <cell r="G226">
            <v>-169.93</v>
          </cell>
        </row>
        <row r="227">
          <cell r="F227">
            <v>0</v>
          </cell>
          <cell r="G227">
            <v>-50.48</v>
          </cell>
        </row>
        <row r="228">
          <cell r="F228">
            <v>-2818</v>
          </cell>
          <cell r="G228">
            <v>-302975</v>
          </cell>
        </row>
        <row r="229">
          <cell r="F229">
            <v>-5956.92</v>
          </cell>
          <cell r="G229">
            <v>-600034.62</v>
          </cell>
        </row>
        <row r="230">
          <cell r="F230">
            <v>-1051.1300000000001</v>
          </cell>
          <cell r="G230">
            <v>-121116.03</v>
          </cell>
        </row>
        <row r="231">
          <cell r="F231">
            <v>-266.04000000000002</v>
          </cell>
          <cell r="G231">
            <v>-15531.85</v>
          </cell>
        </row>
        <row r="232">
          <cell r="F232">
            <v>0</v>
          </cell>
          <cell r="G232">
            <v>4131814</v>
          </cell>
        </row>
        <row r="233">
          <cell r="F233">
            <v>0</v>
          </cell>
          <cell r="G233">
            <v>8408386</v>
          </cell>
        </row>
        <row r="234">
          <cell r="F234">
            <v>0</v>
          </cell>
          <cell r="G234">
            <v>1529156</v>
          </cell>
        </row>
        <row r="235">
          <cell r="F235">
            <v>0</v>
          </cell>
          <cell r="G235">
            <v>250644</v>
          </cell>
        </row>
        <row r="236">
          <cell r="F236">
            <v>-195519604.81</v>
          </cell>
          <cell r="G236">
            <v>-1759990730.26</v>
          </cell>
        </row>
        <row r="237">
          <cell r="F237">
            <v>-413221388.54000002</v>
          </cell>
          <cell r="G237">
            <v>-3687797643.6700001</v>
          </cell>
        </row>
        <row r="238">
          <cell r="F238">
            <v>-72963907.579999998</v>
          </cell>
          <cell r="G238">
            <v>-709790314.04999995</v>
          </cell>
        </row>
        <row r="239">
          <cell r="F239">
            <v>-18522096.48</v>
          </cell>
          <cell r="G239">
            <v>-127390056.17</v>
          </cell>
        </row>
        <row r="259">
          <cell r="F259">
            <v>150973295.99000001</v>
          </cell>
          <cell r="G259">
            <v>1417252744.97</v>
          </cell>
        </row>
        <row r="260">
          <cell r="F260">
            <v>369498901.19999999</v>
          </cell>
          <cell r="G260">
            <v>3650114916.5500002</v>
          </cell>
        </row>
        <row r="261">
          <cell r="F261">
            <v>70541723.230000004</v>
          </cell>
          <cell r="G261">
            <v>683976778.42999995</v>
          </cell>
        </row>
        <row r="262">
          <cell r="F262">
            <v>4728329.25</v>
          </cell>
          <cell r="G262">
            <v>42796814.520000003</v>
          </cell>
        </row>
        <row r="263">
          <cell r="F263">
            <v>0</v>
          </cell>
        </row>
        <row r="264">
          <cell r="F264">
            <v>7169569.7199999997</v>
          </cell>
          <cell r="G264">
            <v>101874536.22</v>
          </cell>
        </row>
        <row r="265">
          <cell r="F265">
            <v>3775873.23</v>
          </cell>
          <cell r="G265">
            <v>31205002.210000001</v>
          </cell>
        </row>
        <row r="266">
          <cell r="F266">
            <v>1744933.39</v>
          </cell>
          <cell r="G266">
            <v>781773.38</v>
          </cell>
        </row>
        <row r="267">
          <cell r="F267">
            <v>1809183.31</v>
          </cell>
          <cell r="G267">
            <v>4733766.67</v>
          </cell>
        </row>
        <row r="268">
          <cell r="F268">
            <v>377555.44</v>
          </cell>
          <cell r="G268">
            <v>-14789421.470000001</v>
          </cell>
        </row>
        <row r="269">
          <cell r="F269">
            <v>-1545123</v>
          </cell>
          <cell r="G269">
            <v>-10433248.1</v>
          </cell>
        </row>
        <row r="270">
          <cell r="F270">
            <v>15500</v>
          </cell>
          <cell r="G270">
            <v>-141168.95999999999</v>
          </cell>
        </row>
        <row r="271">
          <cell r="F271">
            <v>-706.36</v>
          </cell>
          <cell r="G271">
            <v>-773477.21</v>
          </cell>
        </row>
        <row r="272">
          <cell r="F272">
            <v>-4918271.46</v>
          </cell>
          <cell r="G272">
            <v>-7836818.5700000003</v>
          </cell>
        </row>
        <row r="273">
          <cell r="F273">
            <v>-9027994.8100000005</v>
          </cell>
          <cell r="G273">
            <v>-1870340.26</v>
          </cell>
        </row>
        <row r="274">
          <cell r="F274">
            <v>-1590462.14</v>
          </cell>
          <cell r="G274">
            <v>4095383.26</v>
          </cell>
        </row>
        <row r="275">
          <cell r="F275">
            <v>-413186.97</v>
          </cell>
          <cell r="G275">
            <v>-1344492.01</v>
          </cell>
        </row>
      </sheetData>
      <sheetData sheetId="5">
        <row r="208">
          <cell r="F208">
            <v>-662.48</v>
          </cell>
          <cell r="G208">
            <v>-4588.8900000000003</v>
          </cell>
        </row>
        <row r="209">
          <cell r="F209">
            <v>-1428.83</v>
          </cell>
          <cell r="G209">
            <v>-6810.08</v>
          </cell>
        </row>
        <row r="210">
          <cell r="F210">
            <v>-251.48</v>
          </cell>
          <cell r="G210">
            <v>-1913.39</v>
          </cell>
        </row>
        <row r="211">
          <cell r="F211">
            <v>-74.7</v>
          </cell>
          <cell r="G211">
            <v>-334.8</v>
          </cell>
        </row>
        <row r="212">
          <cell r="F212">
            <v>-7565188.6100000003</v>
          </cell>
          <cell r="G212">
            <v>-110445273.75</v>
          </cell>
        </row>
        <row r="213">
          <cell r="F213">
            <v>-641849.77</v>
          </cell>
          <cell r="G213">
            <v>-11682461.07</v>
          </cell>
        </row>
        <row r="214">
          <cell r="F214">
            <v>-277386.07</v>
          </cell>
          <cell r="G214">
            <v>-4386546.42</v>
          </cell>
        </row>
        <row r="215">
          <cell r="F215">
            <v>-323417.96999999997</v>
          </cell>
          <cell r="G215">
            <v>-4386696.5999999996</v>
          </cell>
        </row>
        <row r="216">
          <cell r="F216">
            <v>-104316.92</v>
          </cell>
          <cell r="G216">
            <v>-1024177.28</v>
          </cell>
        </row>
        <row r="217">
          <cell r="F217">
            <v>-224916.71</v>
          </cell>
          <cell r="G217">
            <v>-2147989.09</v>
          </cell>
        </row>
        <row r="218">
          <cell r="F218">
            <v>-39576.550000000003</v>
          </cell>
          <cell r="G218">
            <v>-408213.45</v>
          </cell>
        </row>
        <row r="219">
          <cell r="F219">
            <v>-11711.19</v>
          </cell>
          <cell r="G219">
            <v>-73436.5</v>
          </cell>
        </row>
        <row r="220">
          <cell r="F220">
            <v>-6898.44</v>
          </cell>
          <cell r="G220">
            <v>-60657.58</v>
          </cell>
        </row>
        <row r="221">
          <cell r="F221">
            <v>-14882.09</v>
          </cell>
          <cell r="G221">
            <v>-139916.62</v>
          </cell>
        </row>
        <row r="222">
          <cell r="F222">
            <v>-2618.39</v>
          </cell>
          <cell r="G222">
            <v>-22290.01</v>
          </cell>
        </row>
        <row r="223">
          <cell r="F223">
            <v>-778</v>
          </cell>
          <cell r="G223">
            <v>-6334.45</v>
          </cell>
        </row>
        <row r="224">
          <cell r="F224">
            <v>0</v>
          </cell>
          <cell r="G224">
            <v>-447.64</v>
          </cell>
        </row>
        <row r="225">
          <cell r="F225">
            <v>0</v>
          </cell>
          <cell r="G225">
            <v>-965.48</v>
          </cell>
        </row>
        <row r="226">
          <cell r="F226">
            <v>0</v>
          </cell>
          <cell r="G226">
            <v>-169.93</v>
          </cell>
        </row>
        <row r="227">
          <cell r="F227">
            <v>0</v>
          </cell>
          <cell r="G227">
            <v>-50.48</v>
          </cell>
        </row>
        <row r="228">
          <cell r="F228">
            <v>-72131.59</v>
          </cell>
          <cell r="G228">
            <v>-300157</v>
          </cell>
        </row>
        <row r="229">
          <cell r="F229">
            <v>-147113.59</v>
          </cell>
          <cell r="G229">
            <v>-594077.69999999995</v>
          </cell>
        </row>
        <row r="230">
          <cell r="F230">
            <v>-28336.07</v>
          </cell>
          <cell r="G230">
            <v>-120064.9</v>
          </cell>
        </row>
        <row r="231">
          <cell r="F231">
            <v>-5179.3</v>
          </cell>
          <cell r="G231">
            <v>-15265.81</v>
          </cell>
        </row>
        <row r="232">
          <cell r="F232">
            <v>0</v>
          </cell>
          <cell r="G232">
            <v>4131814</v>
          </cell>
        </row>
        <row r="233">
          <cell r="F233">
            <v>0</v>
          </cell>
          <cell r="G233">
            <v>8408386</v>
          </cell>
        </row>
        <row r="234">
          <cell r="F234">
            <v>0</v>
          </cell>
          <cell r="G234">
            <v>1529156</v>
          </cell>
        </row>
        <row r="235">
          <cell r="F235">
            <v>0</v>
          </cell>
          <cell r="G235">
            <v>250644</v>
          </cell>
        </row>
        <row r="236">
          <cell r="F236">
            <v>-179080180</v>
          </cell>
          <cell r="G236">
            <v>-1564471125.45</v>
          </cell>
        </row>
        <row r="237">
          <cell r="F237">
            <v>-384753773.87</v>
          </cell>
          <cell r="G237">
            <v>-3274576255.1300001</v>
          </cell>
        </row>
        <row r="238">
          <cell r="F238">
            <v>-68039705.920000002</v>
          </cell>
          <cell r="G238">
            <v>-636826406.47000003</v>
          </cell>
        </row>
        <row r="239">
          <cell r="F239">
            <v>-19884059.300000001</v>
          </cell>
          <cell r="G239">
            <v>-108867959.69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9">
          <cell r="F259">
            <v>118764918.79000001</v>
          </cell>
          <cell r="G259">
            <v>1266279448.98</v>
          </cell>
        </row>
        <row r="260">
          <cell r="F260">
            <v>369256244</v>
          </cell>
          <cell r="G260">
            <v>3280616015.3499999</v>
          </cell>
        </row>
        <row r="261">
          <cell r="F261">
            <v>67909159</v>
          </cell>
          <cell r="G261">
            <v>613435055.20000005</v>
          </cell>
        </row>
        <row r="262">
          <cell r="F262">
            <v>3853959.4</v>
          </cell>
          <cell r="G262">
            <v>38068485.270000003</v>
          </cell>
        </row>
        <row r="264">
          <cell r="F264">
            <v>22980542.09</v>
          </cell>
          <cell r="G264">
            <v>94704966.5</v>
          </cell>
        </row>
        <row r="265">
          <cell r="F265">
            <v>4049152.43</v>
          </cell>
          <cell r="G265">
            <v>27429128.98</v>
          </cell>
        </row>
        <row r="266">
          <cell r="F266">
            <v>-1804963.42</v>
          </cell>
          <cell r="G266">
            <v>-963160.01</v>
          </cell>
        </row>
        <row r="267">
          <cell r="F267">
            <v>-1019622.77</v>
          </cell>
          <cell r="G267">
            <v>2924583.36</v>
          </cell>
        </row>
        <row r="268">
          <cell r="F268">
            <v>-471056.61</v>
          </cell>
          <cell r="G268">
            <v>-15166976.91</v>
          </cell>
        </row>
        <row r="269">
          <cell r="F269">
            <v>1517852.12</v>
          </cell>
          <cell r="G269">
            <v>-8888125.0999999996</v>
          </cell>
        </row>
        <row r="270">
          <cell r="F270">
            <v>270879.61</v>
          </cell>
          <cell r="G270">
            <v>-156668.96</v>
          </cell>
        </row>
        <row r="271">
          <cell r="F271">
            <v>-39813.58</v>
          </cell>
          <cell r="G271">
            <v>-772770.85</v>
          </cell>
        </row>
        <row r="272">
          <cell r="F272">
            <v>-228507.78</v>
          </cell>
          <cell r="G272">
            <v>-2918547.11</v>
          </cell>
        </row>
        <row r="273">
          <cell r="F273">
            <v>-809510.77</v>
          </cell>
          <cell r="G273">
            <v>7157654.5499999998</v>
          </cell>
        </row>
        <row r="274">
          <cell r="F274">
            <v>-429211.63</v>
          </cell>
          <cell r="G274">
            <v>5685845.4000000004</v>
          </cell>
        </row>
        <row r="275">
          <cell r="F275">
            <v>275450.51</v>
          </cell>
          <cell r="G275">
            <v>-931305.04</v>
          </cell>
        </row>
      </sheetData>
      <sheetData sheetId="6">
        <row r="199">
          <cell r="F199">
            <v>-741.94</v>
          </cell>
          <cell r="G199">
            <v>-3926.41</v>
          </cell>
        </row>
        <row r="200">
          <cell r="F200">
            <v>-1600.21</v>
          </cell>
          <cell r="G200">
            <v>-5381.25</v>
          </cell>
        </row>
        <row r="201">
          <cell r="F201">
            <v>-281.64</v>
          </cell>
          <cell r="G201">
            <v>-1661.91</v>
          </cell>
        </row>
        <row r="202">
          <cell r="F202">
            <v>-83.66</v>
          </cell>
          <cell r="G202">
            <v>-260.10000000000002</v>
          </cell>
        </row>
        <row r="203">
          <cell r="F203">
            <v>-8628280.5199999996</v>
          </cell>
          <cell r="G203">
            <v>-102880085.14</v>
          </cell>
        </row>
        <row r="204">
          <cell r="F204">
            <v>-675818.53</v>
          </cell>
          <cell r="G204">
            <v>-11040611.300000001</v>
          </cell>
        </row>
        <row r="205">
          <cell r="F205">
            <v>-321505.57</v>
          </cell>
          <cell r="G205">
            <v>-4109160.35</v>
          </cell>
        </row>
        <row r="206">
          <cell r="F206">
            <v>-341843.32</v>
          </cell>
          <cell r="G206">
            <v>-4063278.63</v>
          </cell>
        </row>
        <row r="207">
          <cell r="F207">
            <v>-113632.21</v>
          </cell>
          <cell r="G207">
            <v>-919860.36</v>
          </cell>
        </row>
        <row r="208">
          <cell r="F208">
            <v>-245136.37</v>
          </cell>
          <cell r="G208">
            <v>-1923072.38</v>
          </cell>
        </row>
        <row r="209">
          <cell r="F209">
            <v>-43131.27</v>
          </cell>
          <cell r="G209">
            <v>-368636.9</v>
          </cell>
        </row>
        <row r="210">
          <cell r="F210">
            <v>-12812.08</v>
          </cell>
          <cell r="G210">
            <v>-61725.31</v>
          </cell>
        </row>
        <row r="211">
          <cell r="F211">
            <v>-7787.23</v>
          </cell>
          <cell r="G211">
            <v>-53759.14</v>
          </cell>
        </row>
        <row r="212">
          <cell r="F212">
            <v>-16799.310000000001</v>
          </cell>
          <cell r="G212">
            <v>-125034.53</v>
          </cell>
        </row>
        <row r="213">
          <cell r="F213">
            <v>-2955.73</v>
          </cell>
          <cell r="G213">
            <v>-19671.62</v>
          </cell>
        </row>
        <row r="214">
          <cell r="F214">
            <v>-878.07</v>
          </cell>
          <cell r="G214">
            <v>-5556.45</v>
          </cell>
        </row>
        <row r="215">
          <cell r="F215">
            <v>0</v>
          </cell>
          <cell r="G215">
            <v>-447.64</v>
          </cell>
        </row>
        <row r="216">
          <cell r="F216">
            <v>0</v>
          </cell>
          <cell r="G216">
            <v>-965.48</v>
          </cell>
        </row>
        <row r="217">
          <cell r="F217">
            <v>0</v>
          </cell>
          <cell r="G217">
            <v>-169.93</v>
          </cell>
        </row>
        <row r="218">
          <cell r="F218">
            <v>0</v>
          </cell>
          <cell r="G218">
            <v>-50.48</v>
          </cell>
        </row>
        <row r="219">
          <cell r="F219">
            <v>-45373.05</v>
          </cell>
          <cell r="G219">
            <v>-228025.41</v>
          </cell>
        </row>
        <row r="220">
          <cell r="F220">
            <v>-89391.41</v>
          </cell>
          <cell r="G220">
            <v>-446964.11</v>
          </cell>
        </row>
        <row r="221">
          <cell r="F221">
            <v>-18200.62</v>
          </cell>
          <cell r="G221">
            <v>-91728.83</v>
          </cell>
        </row>
        <row r="222">
          <cell r="F222">
            <v>-2164.58</v>
          </cell>
          <cell r="G222">
            <v>-10086.51</v>
          </cell>
        </row>
        <row r="223">
          <cell r="F223">
            <v>2065907</v>
          </cell>
          <cell r="G223">
            <v>4131814</v>
          </cell>
        </row>
        <row r="224">
          <cell r="F224">
            <v>4204193</v>
          </cell>
          <cell r="G224">
            <v>8408386</v>
          </cell>
        </row>
        <row r="225">
          <cell r="F225">
            <v>764578</v>
          </cell>
          <cell r="G225">
            <v>1529156</v>
          </cell>
        </row>
        <row r="226">
          <cell r="F226">
            <v>125322</v>
          </cell>
          <cell r="G226">
            <v>250644</v>
          </cell>
        </row>
        <row r="227">
          <cell r="F227">
            <v>-178968752.09</v>
          </cell>
          <cell r="G227">
            <v>-1385390945.45</v>
          </cell>
        </row>
        <row r="228">
          <cell r="F228">
            <v>-384418675.31</v>
          </cell>
          <cell r="G228">
            <v>-2889822481.2600002</v>
          </cell>
        </row>
        <row r="229">
          <cell r="F229">
            <v>-68063595.719999999</v>
          </cell>
          <cell r="G229">
            <v>-568786700.54999995</v>
          </cell>
        </row>
        <row r="230">
          <cell r="F230">
            <v>-19581740.739999998</v>
          </cell>
          <cell r="G230">
            <v>-88983900.390000001</v>
          </cell>
        </row>
        <row r="231">
          <cell r="F231">
            <v>132731367.36</v>
          </cell>
          <cell r="G231">
            <v>1147514530.1900001</v>
          </cell>
        </row>
        <row r="232">
          <cell r="F232">
            <v>327683785</v>
          </cell>
          <cell r="G232">
            <v>2911359771.3499999</v>
          </cell>
        </row>
        <row r="233">
          <cell r="F233">
            <v>67415419</v>
          </cell>
          <cell r="G233">
            <v>545525896.20000005</v>
          </cell>
        </row>
        <row r="234">
          <cell r="F234">
            <v>5572166.2000000002</v>
          </cell>
          <cell r="G234">
            <v>34214525.869999997</v>
          </cell>
        </row>
        <row r="235">
          <cell r="F235">
            <v>5094812.05</v>
          </cell>
          <cell r="G235">
            <v>71724424.409999996</v>
          </cell>
        </row>
        <row r="236">
          <cell r="F236">
            <v>9429176.9399999995</v>
          </cell>
          <cell r="G236">
            <v>23379976.550000001</v>
          </cell>
        </row>
        <row r="237">
          <cell r="F237">
            <v>450326.86</v>
          </cell>
          <cell r="G237">
            <v>841803.41</v>
          </cell>
        </row>
        <row r="238">
          <cell r="F238">
            <v>319645.34000000003</v>
          </cell>
          <cell r="G238">
            <v>3944206.13</v>
          </cell>
        </row>
        <row r="239">
          <cell r="F239">
            <v>-4032989.38</v>
          </cell>
          <cell r="G239">
            <v>-14695920.300000001</v>
          </cell>
        </row>
        <row r="240">
          <cell r="F240">
            <v>-10144261.359999999</v>
          </cell>
          <cell r="G240">
            <v>-10405977.220000001</v>
          </cell>
        </row>
        <row r="241">
          <cell r="F241">
            <v>-290664.74</v>
          </cell>
          <cell r="G241">
            <v>-427548.57</v>
          </cell>
        </row>
        <row r="242">
          <cell r="F242">
            <v>-4141.6499999999996</v>
          </cell>
          <cell r="G242">
            <v>-732957.27</v>
          </cell>
        </row>
        <row r="243">
          <cell r="F243">
            <v>2384553.4500000002</v>
          </cell>
          <cell r="G243">
            <v>-2690039.33</v>
          </cell>
        </row>
        <row r="244">
          <cell r="F244">
            <v>4491090.25</v>
          </cell>
          <cell r="G244">
            <v>7967165.3200000003</v>
          </cell>
        </row>
        <row r="245">
          <cell r="F245">
            <v>-33254.74</v>
          </cell>
          <cell r="G245">
            <v>6115057.0300000003</v>
          </cell>
        </row>
        <row r="246">
          <cell r="F246">
            <v>-56722.23</v>
          </cell>
          <cell r="G246">
            <v>-1206755.55</v>
          </cell>
        </row>
      </sheetData>
      <sheetData sheetId="7">
        <row r="196">
          <cell r="F196">
            <v>-820.68</v>
          </cell>
          <cell r="G196">
            <v>-3184.47</v>
          </cell>
        </row>
        <row r="197">
          <cell r="F197">
            <v>-1770.04</v>
          </cell>
          <cell r="G197">
            <v>-3781.04</v>
          </cell>
        </row>
        <row r="198">
          <cell r="F198">
            <v>-311.52999999999997</v>
          </cell>
          <cell r="G198">
            <v>-1380.27</v>
          </cell>
        </row>
        <row r="199">
          <cell r="F199">
            <v>-92.54</v>
          </cell>
          <cell r="G199">
            <v>-176.44</v>
          </cell>
        </row>
        <row r="200">
          <cell r="F200">
            <v>-9720097.6099999994</v>
          </cell>
          <cell r="G200">
            <v>-94251804.620000005</v>
          </cell>
        </row>
        <row r="201">
          <cell r="F201">
            <v>-748187.44</v>
          </cell>
          <cell r="G201">
            <v>-10364792.77</v>
          </cell>
        </row>
        <row r="202">
          <cell r="F202">
            <v>-362014.28</v>
          </cell>
          <cell r="G202">
            <v>-3787654.78</v>
          </cell>
        </row>
        <row r="203">
          <cell r="F203">
            <v>-367252.62</v>
          </cell>
          <cell r="G203">
            <v>-3721435.31</v>
          </cell>
        </row>
        <row r="204">
          <cell r="F204">
            <v>-143863.67999999999</v>
          </cell>
          <cell r="G204">
            <v>-806228.15</v>
          </cell>
        </row>
        <row r="205">
          <cell r="F205">
            <v>-310354.64</v>
          </cell>
          <cell r="G205">
            <v>-1677936.01</v>
          </cell>
        </row>
        <row r="206">
          <cell r="F206">
            <v>-54607.25</v>
          </cell>
          <cell r="G206">
            <v>-325505.63</v>
          </cell>
        </row>
        <row r="207">
          <cell r="F207">
            <v>-16220.27</v>
          </cell>
          <cell r="G207">
            <v>-48913.23</v>
          </cell>
        </row>
        <row r="208">
          <cell r="F208">
            <v>-22834.639999999999</v>
          </cell>
          <cell r="G208">
            <v>-45971.91</v>
          </cell>
        </row>
        <row r="209">
          <cell r="F209">
            <v>-49261.19</v>
          </cell>
          <cell r="G209">
            <v>-108235.22</v>
          </cell>
        </row>
        <row r="210">
          <cell r="F210">
            <v>-8667.18</v>
          </cell>
          <cell r="G210">
            <v>-16715.89</v>
          </cell>
        </row>
        <row r="211">
          <cell r="F211">
            <v>-2575.12</v>
          </cell>
          <cell r="G211">
            <v>-4678.38</v>
          </cell>
        </row>
        <row r="212">
          <cell r="F212">
            <v>-447.64</v>
          </cell>
          <cell r="G212">
            <v>-447.64</v>
          </cell>
        </row>
        <row r="213">
          <cell r="F213">
            <v>-965.48</v>
          </cell>
          <cell r="G213">
            <v>-965.48</v>
          </cell>
        </row>
        <row r="214">
          <cell r="F214">
            <v>-169.93</v>
          </cell>
          <cell r="G214">
            <v>-169.93</v>
          </cell>
        </row>
        <row r="215">
          <cell r="F215">
            <v>-50.48</v>
          </cell>
          <cell r="G215">
            <v>-50.48</v>
          </cell>
        </row>
        <row r="216">
          <cell r="F216">
            <v>-83184.52</v>
          </cell>
          <cell r="G216">
            <v>-182652.36</v>
          </cell>
        </row>
        <row r="217">
          <cell r="F217">
            <v>-163401.26</v>
          </cell>
          <cell r="G217">
            <v>-357572.7</v>
          </cell>
        </row>
        <row r="218">
          <cell r="F218">
            <v>-33423.39</v>
          </cell>
          <cell r="G218">
            <v>-73528.210000000006</v>
          </cell>
        </row>
        <row r="219">
          <cell r="F219">
            <v>-3800.46</v>
          </cell>
          <cell r="G219">
            <v>-7921.93</v>
          </cell>
        </row>
        <row r="220">
          <cell r="F220">
            <v>0</v>
          </cell>
          <cell r="G220">
            <v>2065907</v>
          </cell>
        </row>
        <row r="221">
          <cell r="F221">
            <v>0</v>
          </cell>
          <cell r="G221">
            <v>4204193</v>
          </cell>
        </row>
        <row r="222">
          <cell r="F222">
            <v>0</v>
          </cell>
          <cell r="G222">
            <v>764578</v>
          </cell>
        </row>
        <row r="223">
          <cell r="F223">
            <v>0</v>
          </cell>
          <cell r="G223">
            <v>125322</v>
          </cell>
        </row>
        <row r="224">
          <cell r="F224">
            <v>-181395988.63999999</v>
          </cell>
          <cell r="G224">
            <v>-1206422193.3599999</v>
          </cell>
        </row>
        <row r="225">
          <cell r="F225">
            <v>-378988802.92000002</v>
          </cell>
          <cell r="G225">
            <v>-2505403805.9499998</v>
          </cell>
        </row>
        <row r="226">
          <cell r="F226">
            <v>-68564162.519999996</v>
          </cell>
          <cell r="G226">
            <v>-500723104.82999998</v>
          </cell>
        </row>
        <row r="227">
          <cell r="F227">
            <v>-19782194.379999999</v>
          </cell>
          <cell r="G227">
            <v>-69402159.650000006</v>
          </cell>
        </row>
        <row r="228">
          <cell r="F228">
            <v>127868116.44</v>
          </cell>
          <cell r="G228">
            <v>1014783162.83</v>
          </cell>
        </row>
        <row r="229">
          <cell r="F229">
            <v>369387372.63999999</v>
          </cell>
          <cell r="G229">
            <v>2583675986.3499999</v>
          </cell>
        </row>
        <row r="230">
          <cell r="F230">
            <v>67409705</v>
          </cell>
          <cell r="G230">
            <v>478110477.19999999</v>
          </cell>
        </row>
        <row r="231">
          <cell r="F231">
            <v>3739938.03</v>
          </cell>
          <cell r="G231">
            <v>28642359.670000002</v>
          </cell>
        </row>
        <row r="232">
          <cell r="F232">
            <v>18202307.670000002</v>
          </cell>
          <cell r="G232">
            <v>66629612.359999999</v>
          </cell>
        </row>
        <row r="233">
          <cell r="F233">
            <v>5976217.1299999999</v>
          </cell>
          <cell r="G233">
            <v>13950799.609999999</v>
          </cell>
        </row>
        <row r="234">
          <cell r="F234">
            <v>125492.42</v>
          </cell>
          <cell r="G234">
            <v>391476.55</v>
          </cell>
        </row>
        <row r="235">
          <cell r="F235">
            <v>-434177.52</v>
          </cell>
          <cell r="G235">
            <v>3624560.79</v>
          </cell>
        </row>
        <row r="236">
          <cell r="F236">
            <v>-1585863.94</v>
          </cell>
          <cell r="G236">
            <v>-10662930.92</v>
          </cell>
        </row>
        <row r="237">
          <cell r="F237">
            <v>128339</v>
          </cell>
          <cell r="G237">
            <v>-261715.86</v>
          </cell>
        </row>
        <row r="238">
          <cell r="F238">
            <v>-71249</v>
          </cell>
          <cell r="G238">
            <v>-136883.82999999999</v>
          </cell>
        </row>
        <row r="239">
          <cell r="F239">
            <v>-156924.4</v>
          </cell>
          <cell r="G239">
            <v>-728815.62</v>
          </cell>
        </row>
        <row r="240">
          <cell r="F240">
            <v>4798433.8499999996</v>
          </cell>
          <cell r="G240">
            <v>-5074592.78</v>
          </cell>
        </row>
        <row r="241">
          <cell r="F241">
            <v>10350726.210000001</v>
          </cell>
          <cell r="G241">
            <v>3476075.07</v>
          </cell>
        </row>
        <row r="242">
          <cell r="F242">
            <v>1835325.89</v>
          </cell>
          <cell r="G242">
            <v>6148311.7699999996</v>
          </cell>
        </row>
        <row r="243">
          <cell r="F243">
            <v>400894.17</v>
          </cell>
          <cell r="G243">
            <v>-1150033.32</v>
          </cell>
        </row>
      </sheetData>
      <sheetData sheetId="8">
        <row r="197">
          <cell r="F197">
            <v>0</v>
          </cell>
          <cell r="G197">
            <v>-2363.79</v>
          </cell>
        </row>
        <row r="198">
          <cell r="F198">
            <v>0</v>
          </cell>
          <cell r="G198">
            <v>-2011</v>
          </cell>
        </row>
        <row r="199">
          <cell r="F199">
            <v>0</v>
          </cell>
          <cell r="G199">
            <v>-1068.74</v>
          </cell>
        </row>
        <row r="200">
          <cell r="F200">
            <v>0</v>
          </cell>
          <cell r="G200">
            <v>-83.9</v>
          </cell>
        </row>
        <row r="201">
          <cell r="F201">
            <v>-11504466.49</v>
          </cell>
          <cell r="G201">
            <v>-84531707.010000005</v>
          </cell>
        </row>
        <row r="202">
          <cell r="F202">
            <v>-1009796.31</v>
          </cell>
          <cell r="G202">
            <v>-9616605.3300000001</v>
          </cell>
        </row>
        <row r="203">
          <cell r="F203">
            <v>-435230.87</v>
          </cell>
          <cell r="G203">
            <v>-3425640.5</v>
          </cell>
        </row>
        <row r="204">
          <cell r="F204">
            <v>-432245.54</v>
          </cell>
          <cell r="G204">
            <v>-3354182.69</v>
          </cell>
        </row>
        <row r="205">
          <cell r="F205">
            <v>-133764.94</v>
          </cell>
          <cell r="G205">
            <v>-662364.47</v>
          </cell>
        </row>
        <row r="206">
          <cell r="F206">
            <v>-261125.01</v>
          </cell>
          <cell r="G206">
            <v>-1367581.37</v>
          </cell>
        </row>
        <row r="207">
          <cell r="F207">
            <v>-53936.84</v>
          </cell>
          <cell r="G207">
            <v>-270898.38</v>
          </cell>
        </row>
        <row r="208">
          <cell r="F208">
            <v>-5539.29</v>
          </cell>
          <cell r="G208">
            <v>-32692.959999999999</v>
          </cell>
        </row>
        <row r="209">
          <cell r="F209">
            <v>-5207.8</v>
          </cell>
          <cell r="G209">
            <v>-23137.27</v>
          </cell>
        </row>
        <row r="210">
          <cell r="F210">
            <v>-10166.120000000001</v>
          </cell>
          <cell r="G210">
            <v>-58974.03</v>
          </cell>
        </row>
        <row r="211">
          <cell r="F211">
            <v>-2099.73</v>
          </cell>
          <cell r="G211">
            <v>-8048.71</v>
          </cell>
        </row>
        <row r="212">
          <cell r="F212">
            <v>-215.8</v>
          </cell>
          <cell r="G212">
            <v>-2103.2600000000002</v>
          </cell>
        </row>
        <row r="213">
          <cell r="F213">
            <v>0</v>
          </cell>
          <cell r="G213">
            <v>0</v>
          </cell>
        </row>
        <row r="214">
          <cell r="F214">
            <v>0</v>
          </cell>
          <cell r="G214">
            <v>0</v>
          </cell>
        </row>
        <row r="215">
          <cell r="F215">
            <v>0</v>
          </cell>
          <cell r="G215">
            <v>0</v>
          </cell>
        </row>
        <row r="216">
          <cell r="F216">
            <v>0</v>
          </cell>
          <cell r="G216">
            <v>0</v>
          </cell>
        </row>
        <row r="217">
          <cell r="F217">
            <v>-99467.839999999997</v>
          </cell>
          <cell r="G217">
            <v>-99467.839999999997</v>
          </cell>
        </row>
        <row r="218">
          <cell r="F218">
            <v>-194171.44</v>
          </cell>
          <cell r="G218">
            <v>-194171.44</v>
          </cell>
        </row>
        <row r="219">
          <cell r="F219">
            <v>-40104.82</v>
          </cell>
          <cell r="G219">
            <v>-40104.82</v>
          </cell>
        </row>
        <row r="220">
          <cell r="F220">
            <v>-4121.47</v>
          </cell>
          <cell r="G220">
            <v>-4121.47</v>
          </cell>
        </row>
        <row r="221">
          <cell r="F221">
            <v>2065907</v>
          </cell>
          <cell r="G221">
            <v>2065907</v>
          </cell>
        </row>
        <row r="222">
          <cell r="F222">
            <v>4204193</v>
          </cell>
          <cell r="G222">
            <v>4204193</v>
          </cell>
        </row>
        <row r="223">
          <cell r="F223">
            <v>764578</v>
          </cell>
          <cell r="G223">
            <v>764578</v>
          </cell>
        </row>
        <row r="224">
          <cell r="F224">
            <v>125322</v>
          </cell>
          <cell r="G224">
            <v>125322</v>
          </cell>
        </row>
        <row r="225">
          <cell r="F225">
            <v>-169472451.65000001</v>
          </cell>
          <cell r="G225">
            <v>-1025026204.72</v>
          </cell>
        </row>
        <row r="226">
          <cell r="F226">
            <v>-341570875.18000001</v>
          </cell>
          <cell r="G226">
            <v>-2126415003.03</v>
          </cell>
        </row>
        <row r="227">
          <cell r="F227">
            <v>-68851950.290000007</v>
          </cell>
          <cell r="G227">
            <v>-432158942.31</v>
          </cell>
        </row>
        <row r="228">
          <cell r="F228">
            <v>-7156660.4500000002</v>
          </cell>
          <cell r="G228">
            <v>-49619965.270000003</v>
          </cell>
        </row>
        <row r="229">
          <cell r="F229">
            <v>0</v>
          </cell>
        </row>
        <row r="230">
          <cell r="F230">
            <v>0</v>
          </cell>
          <cell r="G230">
            <v>0</v>
          </cell>
        </row>
        <row r="231">
          <cell r="F231">
            <v>0</v>
          </cell>
          <cell r="G231">
            <v>0</v>
          </cell>
        </row>
        <row r="232">
          <cell r="F232">
            <v>0</v>
          </cell>
          <cell r="G232">
            <v>0</v>
          </cell>
        </row>
        <row r="233"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48">
          <cell r="F248">
            <v>123095696.97</v>
          </cell>
          <cell r="G248">
            <v>886915046.38999999</v>
          </cell>
        </row>
        <row r="249">
          <cell r="F249">
            <v>366385423</v>
          </cell>
          <cell r="G249">
            <v>2214288613.71</v>
          </cell>
        </row>
        <row r="250">
          <cell r="F250">
            <v>69960719</v>
          </cell>
          <cell r="G250">
            <v>410700772.19999999</v>
          </cell>
        </row>
        <row r="251">
          <cell r="F251">
            <v>2035148.08</v>
          </cell>
          <cell r="G251">
            <v>24902421.640000001</v>
          </cell>
        </row>
        <row r="253">
          <cell r="F253">
            <v>15238035.23</v>
          </cell>
          <cell r="G253">
            <v>48427304.689999998</v>
          </cell>
        </row>
        <row r="254">
          <cell r="F254">
            <v>6345003.5700000003</v>
          </cell>
          <cell r="G254">
            <v>7974582.4800000004</v>
          </cell>
        </row>
        <row r="255">
          <cell r="F255">
            <v>-107857.24</v>
          </cell>
          <cell r="G255">
            <v>265984.13</v>
          </cell>
        </row>
        <row r="256">
          <cell r="F256">
            <v>556161.29</v>
          </cell>
          <cell r="G256">
            <v>4058738.31</v>
          </cell>
        </row>
        <row r="257">
          <cell r="F257">
            <v>-675715.24</v>
          </cell>
          <cell r="G257">
            <v>-9077066.9800000004</v>
          </cell>
        </row>
        <row r="258">
          <cell r="F258">
            <v>-626622</v>
          </cell>
          <cell r="G258">
            <v>-390054.86</v>
          </cell>
        </row>
        <row r="259">
          <cell r="F259">
            <v>104984</v>
          </cell>
          <cell r="G259">
            <v>-65634.83</v>
          </cell>
        </row>
        <row r="260">
          <cell r="F260">
            <v>121993.61</v>
          </cell>
          <cell r="G260">
            <v>-571891.22</v>
          </cell>
        </row>
        <row r="261">
          <cell r="F261">
            <v>-15810666.17</v>
          </cell>
          <cell r="G261">
            <v>-9873026.6300000008</v>
          </cell>
        </row>
        <row r="262">
          <cell r="F262">
            <v>-3580467.23</v>
          </cell>
          <cell r="G262">
            <v>-6874651.1399999997</v>
          </cell>
        </row>
        <row r="263">
          <cell r="F263">
            <v>-1010018.7</v>
          </cell>
          <cell r="G263">
            <v>4312985.88</v>
          </cell>
        </row>
        <row r="264">
          <cell r="F264">
            <v>-831020.35</v>
          </cell>
          <cell r="G264">
            <v>-1550927.49</v>
          </cell>
        </row>
      </sheetData>
      <sheetData sheetId="9">
        <row r="177">
          <cell r="F177">
            <v>0</v>
          </cell>
          <cell r="G177">
            <v>-2363.79</v>
          </cell>
        </row>
        <row r="178">
          <cell r="F178">
            <v>0</v>
          </cell>
          <cell r="G178">
            <v>-2011</v>
          </cell>
        </row>
        <row r="179">
          <cell r="F179">
            <v>0</v>
          </cell>
          <cell r="G179">
            <v>-1068.74</v>
          </cell>
        </row>
        <row r="180">
          <cell r="F180">
            <v>0</v>
          </cell>
          <cell r="G180">
            <v>-83.9</v>
          </cell>
        </row>
        <row r="181">
          <cell r="F181">
            <v>-12430986.460000001</v>
          </cell>
          <cell r="G181">
            <v>-73027240.519999996</v>
          </cell>
        </row>
        <row r="182">
          <cell r="F182">
            <v>-1230661.6200000001</v>
          </cell>
          <cell r="G182">
            <v>-8606809.0199999996</v>
          </cell>
        </row>
        <row r="183">
          <cell r="F183">
            <v>-483855.9</v>
          </cell>
          <cell r="G183">
            <v>-2990409.63</v>
          </cell>
        </row>
        <row r="184">
          <cell r="F184">
            <v>-462426.57</v>
          </cell>
          <cell r="G184">
            <v>-2921937.15</v>
          </cell>
        </row>
        <row r="185">
          <cell r="F185">
            <v>-75782.42</v>
          </cell>
          <cell r="G185">
            <v>-528599.53</v>
          </cell>
        </row>
        <row r="186">
          <cell r="F186">
            <v>-147937.70000000001</v>
          </cell>
          <cell r="G186">
            <v>-1106456.3600000001</v>
          </cell>
        </row>
        <row r="187">
          <cell r="F187">
            <v>-30557.51</v>
          </cell>
          <cell r="G187">
            <v>-216961.54</v>
          </cell>
        </row>
        <row r="188">
          <cell r="F188">
            <v>-3137.45</v>
          </cell>
          <cell r="G188">
            <v>-27153.67</v>
          </cell>
        </row>
        <row r="189">
          <cell r="F189">
            <v>650.38</v>
          </cell>
          <cell r="G189">
            <v>-17929.47</v>
          </cell>
        </row>
        <row r="190">
          <cell r="F190">
            <v>1269.6300000000001</v>
          </cell>
          <cell r="G190">
            <v>-48807.91</v>
          </cell>
        </row>
        <row r="191">
          <cell r="F191">
            <v>262.23</v>
          </cell>
          <cell r="G191">
            <v>-5948.98</v>
          </cell>
        </row>
        <row r="192">
          <cell r="F192">
            <v>26.96</v>
          </cell>
          <cell r="G192">
            <v>-1887.46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-173225336.91999999</v>
          </cell>
          <cell r="G197">
            <v>-855553753.07000005</v>
          </cell>
        </row>
        <row r="198">
          <cell r="F198">
            <v>-338141373.88</v>
          </cell>
          <cell r="G198">
            <v>-1784844127.8499999</v>
          </cell>
        </row>
        <row r="199">
          <cell r="F199">
            <v>-69817660.739999995</v>
          </cell>
          <cell r="G199">
            <v>-363306992.01999998</v>
          </cell>
        </row>
        <row r="200">
          <cell r="F200">
            <v>-7166306.0300000003</v>
          </cell>
          <cell r="G200">
            <v>-42463304.82</v>
          </cell>
        </row>
        <row r="201"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0</v>
          </cell>
        </row>
        <row r="204">
          <cell r="F204">
            <v>0</v>
          </cell>
          <cell r="G204">
            <v>0</v>
          </cell>
        </row>
        <row r="205">
          <cell r="F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0</v>
          </cell>
        </row>
        <row r="220">
          <cell r="F220">
            <v>98797875.969999999</v>
          </cell>
          <cell r="G220">
            <v>763819349.41999996</v>
          </cell>
        </row>
        <row r="221">
          <cell r="F221">
            <v>360618614</v>
          </cell>
          <cell r="G221">
            <v>1847903190.71</v>
          </cell>
        </row>
        <row r="222">
          <cell r="F222">
            <v>68034029</v>
          </cell>
          <cell r="G222">
            <v>340740053.19999999</v>
          </cell>
        </row>
        <row r="223">
          <cell r="F223">
            <v>2757040.07</v>
          </cell>
          <cell r="G223">
            <v>22867273.559999999</v>
          </cell>
        </row>
        <row r="225">
          <cell r="F225">
            <v>5568609.4000000004</v>
          </cell>
          <cell r="G225">
            <v>33189269.460000001</v>
          </cell>
        </row>
        <row r="226">
          <cell r="F226">
            <v>2174275.2799999998</v>
          </cell>
          <cell r="G226">
            <v>1629578.91</v>
          </cell>
        </row>
        <row r="227">
          <cell r="F227">
            <v>421009.39</v>
          </cell>
          <cell r="G227">
            <v>373841.37</v>
          </cell>
        </row>
        <row r="228">
          <cell r="F228">
            <v>680333.94</v>
          </cell>
          <cell r="G228">
            <v>3502577.02</v>
          </cell>
        </row>
        <row r="229">
          <cell r="F229">
            <v>-1566808.79</v>
          </cell>
          <cell r="G229">
            <v>-8401351.7400000002</v>
          </cell>
        </row>
        <row r="230">
          <cell r="F230">
            <v>-62383</v>
          </cell>
          <cell r="G230">
            <v>236567.14</v>
          </cell>
        </row>
        <row r="231">
          <cell r="F231">
            <v>185320</v>
          </cell>
          <cell r="G231">
            <v>-170618.83</v>
          </cell>
        </row>
        <row r="232">
          <cell r="F232">
            <v>-578024.48</v>
          </cell>
          <cell r="G232">
            <v>-693884.83</v>
          </cell>
        </row>
        <row r="233">
          <cell r="F233">
            <v>1529625.07</v>
          </cell>
          <cell r="G233">
            <v>5937639.54</v>
          </cell>
        </row>
        <row r="234">
          <cell r="F234">
            <v>1470060.23</v>
          </cell>
          <cell r="G234">
            <v>-3294183.91</v>
          </cell>
        </row>
        <row r="235">
          <cell r="F235">
            <v>157174.35</v>
          </cell>
          <cell r="G235">
            <v>5323004.58</v>
          </cell>
        </row>
        <row r="236">
          <cell r="F236">
            <v>549172.79</v>
          </cell>
          <cell r="G236">
            <v>-719907.14</v>
          </cell>
        </row>
      </sheetData>
      <sheetData sheetId="10">
        <row r="177">
          <cell r="F177">
            <v>0</v>
          </cell>
          <cell r="G177">
            <v>-2363.79</v>
          </cell>
        </row>
        <row r="178">
          <cell r="F178">
            <v>0</v>
          </cell>
          <cell r="G178">
            <v>-2011</v>
          </cell>
        </row>
        <row r="179">
          <cell r="F179">
            <v>0</v>
          </cell>
          <cell r="G179">
            <v>-1068.74</v>
          </cell>
        </row>
        <row r="180">
          <cell r="F180">
            <v>0</v>
          </cell>
          <cell r="G180">
            <v>-83.9</v>
          </cell>
        </row>
        <row r="181">
          <cell r="F181">
            <v>-14760371.939999999</v>
          </cell>
          <cell r="G181">
            <v>-60596254.060000002</v>
          </cell>
        </row>
        <row r="182">
          <cell r="F182">
            <v>-1585053.13</v>
          </cell>
          <cell r="G182">
            <v>-7376147.4000000004</v>
          </cell>
        </row>
        <row r="183">
          <cell r="F183">
            <v>-582773.12</v>
          </cell>
          <cell r="G183">
            <v>-2506553.73</v>
          </cell>
        </row>
        <row r="184">
          <cell r="F184">
            <v>-561654.11</v>
          </cell>
          <cell r="G184">
            <v>-2459510.58</v>
          </cell>
        </row>
        <row r="185">
          <cell r="F185">
            <v>-217525.07</v>
          </cell>
          <cell r="G185">
            <v>-452817.11</v>
          </cell>
        </row>
        <row r="186">
          <cell r="F186">
            <v>-424633.67</v>
          </cell>
          <cell r="G186">
            <v>-958518.66</v>
          </cell>
        </row>
        <row r="187">
          <cell r="F187">
            <v>-87707.74</v>
          </cell>
          <cell r="G187">
            <v>-186404.03</v>
          </cell>
        </row>
        <row r="188">
          <cell r="F188">
            <v>-9010.6299999999992</v>
          </cell>
          <cell r="G188">
            <v>-24016.22</v>
          </cell>
        </row>
        <row r="189">
          <cell r="F189">
            <v>1794.19</v>
          </cell>
          <cell r="G189">
            <v>-18579.849999999999</v>
          </cell>
        </row>
        <row r="190">
          <cell r="F190">
            <v>3502.46</v>
          </cell>
          <cell r="G190">
            <v>-50077.54</v>
          </cell>
        </row>
        <row r="191">
          <cell r="F191">
            <v>723.41</v>
          </cell>
          <cell r="G191">
            <v>-6211.21</v>
          </cell>
        </row>
        <row r="192">
          <cell r="F192">
            <v>74.349999999999994</v>
          </cell>
          <cell r="G192">
            <v>-1914.42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0</v>
          </cell>
          <cell r="G196">
            <v>0</v>
          </cell>
        </row>
        <row r="197">
          <cell r="F197">
            <v>-171493079.33000001</v>
          </cell>
          <cell r="G197">
            <v>-682328416.14999998</v>
          </cell>
        </row>
        <row r="198">
          <cell r="F198">
            <v>-333958079.49000001</v>
          </cell>
          <cell r="G198">
            <v>-1446702753.97</v>
          </cell>
        </row>
        <row r="199">
          <cell r="F199">
            <v>-69158905.829999998</v>
          </cell>
          <cell r="G199">
            <v>-293489331.27999997</v>
          </cell>
        </row>
        <row r="200">
          <cell r="F200">
            <v>-7031692.1699999999</v>
          </cell>
          <cell r="G200">
            <v>-35296998.789999999</v>
          </cell>
        </row>
        <row r="201">
          <cell r="F201">
            <v>0</v>
          </cell>
          <cell r="G201">
            <v>0</v>
          </cell>
        </row>
        <row r="202">
          <cell r="F202">
            <v>0</v>
          </cell>
          <cell r="G202">
            <v>0</v>
          </cell>
        </row>
        <row r="203">
          <cell r="F203">
            <v>0</v>
          </cell>
          <cell r="G203">
            <v>0</v>
          </cell>
        </row>
        <row r="204">
          <cell r="F204">
            <v>0</v>
          </cell>
          <cell r="G204">
            <v>0</v>
          </cell>
        </row>
        <row r="205">
          <cell r="F205">
            <v>0</v>
          </cell>
        </row>
        <row r="206">
          <cell r="F206">
            <v>0</v>
          </cell>
          <cell r="G206">
            <v>0</v>
          </cell>
        </row>
        <row r="207">
          <cell r="F207">
            <v>0</v>
          </cell>
          <cell r="G207">
            <v>0</v>
          </cell>
        </row>
        <row r="208">
          <cell r="F208">
            <v>0</v>
          </cell>
          <cell r="G208">
            <v>0</v>
          </cell>
        </row>
        <row r="209">
          <cell r="F209">
            <v>0</v>
          </cell>
          <cell r="G209">
            <v>0</v>
          </cell>
        </row>
        <row r="220">
          <cell r="F220">
            <v>131718206.62</v>
          </cell>
          <cell r="G220">
            <v>665021473.45000005</v>
          </cell>
        </row>
        <row r="221">
          <cell r="F221">
            <v>371615041.70999998</v>
          </cell>
          <cell r="G221">
            <v>1487284576.71</v>
          </cell>
        </row>
        <row r="222">
          <cell r="F222">
            <v>68796170.200000003</v>
          </cell>
          <cell r="G222">
            <v>272706024.19999999</v>
          </cell>
        </row>
        <row r="223">
          <cell r="F223">
            <v>9832262.9700000007</v>
          </cell>
          <cell r="G223">
            <v>20110233.489999998</v>
          </cell>
        </row>
        <row r="225">
          <cell r="F225">
            <v>9240731.2799999993</v>
          </cell>
          <cell r="G225">
            <v>27620660.059999999</v>
          </cell>
        </row>
        <row r="226">
          <cell r="F226">
            <v>-3202828.9</v>
          </cell>
          <cell r="G226">
            <v>-544696.37</v>
          </cell>
        </row>
        <row r="227">
          <cell r="F227">
            <v>-818371.28</v>
          </cell>
          <cell r="G227">
            <v>-47168.02</v>
          </cell>
        </row>
        <row r="228">
          <cell r="F228">
            <v>1094165.5900000001</v>
          </cell>
          <cell r="G228">
            <v>2822243.08</v>
          </cell>
        </row>
        <row r="229">
          <cell r="F229">
            <v>-737975.23</v>
          </cell>
          <cell r="G229">
            <v>-6834542.9500000002</v>
          </cell>
        </row>
        <row r="230">
          <cell r="F230">
            <v>62764</v>
          </cell>
          <cell r="G230">
            <v>298950.14</v>
          </cell>
        </row>
        <row r="231">
          <cell r="F231">
            <v>294291</v>
          </cell>
          <cell r="G231">
            <v>-355938.83</v>
          </cell>
        </row>
        <row r="232">
          <cell r="F232">
            <v>0</v>
          </cell>
          <cell r="G232">
            <v>-115860.35</v>
          </cell>
        </row>
        <row r="233">
          <cell r="F233">
            <v>-124224.5</v>
          </cell>
          <cell r="G233">
            <v>4408014.47</v>
          </cell>
        </row>
        <row r="234">
          <cell r="F234">
            <v>-228489.73</v>
          </cell>
          <cell r="G234">
            <v>-4764244.1399999997</v>
          </cell>
        </row>
        <row r="235">
          <cell r="F235">
            <v>-253677.53</v>
          </cell>
          <cell r="G235">
            <v>5165830.2300000004</v>
          </cell>
        </row>
        <row r="236">
          <cell r="F236">
            <v>-132084.64000000001</v>
          </cell>
          <cell r="G236">
            <v>-1269079.93</v>
          </cell>
        </row>
      </sheetData>
      <sheetData sheetId="11">
        <row r="168">
          <cell r="G168">
            <v>882878.91</v>
          </cell>
        </row>
        <row r="169">
          <cell r="G169">
            <v>82877.429999999993</v>
          </cell>
        </row>
        <row r="170">
          <cell r="G170">
            <v>0</v>
          </cell>
        </row>
        <row r="171">
          <cell r="G171">
            <v>-4278997.03</v>
          </cell>
        </row>
        <row r="172">
          <cell r="G172">
            <v>-1856534154.5900002</v>
          </cell>
        </row>
        <row r="173">
          <cell r="G173">
            <v>-23537342.059999999</v>
          </cell>
        </row>
        <row r="174">
          <cell r="G174">
            <v>55454140.900000006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Accrual Quarterly"/>
      <sheetName val="2007 Accrual Monthly"/>
      <sheetName val="Sheet1"/>
      <sheetName val="DecemberTB"/>
      <sheetName val="November TB"/>
      <sheetName val="October TB 2007"/>
      <sheetName val="AR Schd Oct 07"/>
      <sheetName val="Sep 07 TB (most recent)"/>
      <sheetName val="Sep 07 TB"/>
      <sheetName val="AR Schd Sep 07"/>
      <sheetName val="Aug 07 TB"/>
      <sheetName val="AR Schd Aug 07"/>
      <sheetName val="TB July "/>
      <sheetName val="AR Schd July 07"/>
      <sheetName val="TB Jun"/>
      <sheetName val="AR Schd June 07"/>
      <sheetName val="AR Schd May 07"/>
      <sheetName val="TB May"/>
      <sheetName val="TB Apr"/>
      <sheetName val="AR Schd Apr 07"/>
      <sheetName val="TB Mar"/>
      <sheetName val="AR Schd Mar 07"/>
      <sheetName val="AR Schd Jan 07"/>
      <sheetName val="AR Schd Feb 07"/>
      <sheetName val="TB Feb"/>
      <sheetName val="TB  Jan07 (adj)"/>
      <sheetName val="TB Jan"/>
    </sheetNames>
    <sheetDataSet>
      <sheetData sheetId="0"/>
      <sheetData sheetId="1" refreshError="1">
        <row r="17">
          <cell r="F17">
            <v>20304505.129999995</v>
          </cell>
        </row>
        <row r="118">
          <cell r="F118">
            <v>626900529.3499999</v>
          </cell>
        </row>
        <row r="153">
          <cell r="F153">
            <v>623533836.38</v>
          </cell>
        </row>
        <row r="167">
          <cell r="F167">
            <v>625741377.63999999</v>
          </cell>
        </row>
        <row r="175">
          <cell r="B175">
            <v>4468367375.4443712</v>
          </cell>
          <cell r="C175">
            <v>464289719.64157641</v>
          </cell>
          <cell r="D175">
            <v>93921847.696124822</v>
          </cell>
          <cell r="E175">
            <v>149972208.09502321</v>
          </cell>
        </row>
      </sheetData>
      <sheetData sheetId="2" refreshError="1"/>
      <sheetData sheetId="3" refreshError="1">
        <row r="219">
          <cell r="G219">
            <v>533303266.82999998</v>
          </cell>
        </row>
        <row r="220">
          <cell r="G220">
            <v>1115669535</v>
          </cell>
        </row>
        <row r="221">
          <cell r="G221">
            <v>203909854</v>
          </cell>
        </row>
        <row r="222">
          <cell r="G222">
            <v>10277970.52</v>
          </cell>
        </row>
        <row r="228">
          <cell r="G228">
            <v>-6096567.7199999997</v>
          </cell>
        </row>
        <row r="229">
          <cell r="G229">
            <v>236186.14</v>
          </cell>
        </row>
        <row r="230">
          <cell r="G230">
            <v>-650229.82999999996</v>
          </cell>
        </row>
        <row r="231">
          <cell r="G231">
            <v>-115860.35</v>
          </cell>
        </row>
      </sheetData>
      <sheetData sheetId="4" refreshError="1">
        <row r="177">
          <cell r="F177">
            <v>-501.91</v>
          </cell>
          <cell r="G177">
            <v>-2090.0300000000002</v>
          </cell>
        </row>
        <row r="178">
          <cell r="F178">
            <v>-1094.46</v>
          </cell>
          <cell r="G178">
            <v>-1414.07</v>
          </cell>
        </row>
        <row r="179">
          <cell r="F179">
            <v>-220.26</v>
          </cell>
          <cell r="G179">
            <v>-948.61</v>
          </cell>
        </row>
        <row r="180">
          <cell r="F180">
            <v>-27.92</v>
          </cell>
          <cell r="G180">
            <v>-68.61</v>
          </cell>
        </row>
        <row r="181">
          <cell r="F181">
            <v>-14542839.1</v>
          </cell>
          <cell r="G181">
            <v>-30985563.489999998</v>
          </cell>
        </row>
        <row r="182">
          <cell r="F182">
            <v>-1920525.39</v>
          </cell>
          <cell r="G182">
            <v>-4067705.83</v>
          </cell>
        </row>
        <row r="183">
          <cell r="F183">
            <v>-614804.23</v>
          </cell>
          <cell r="G183">
            <v>-1324558.23</v>
          </cell>
        </row>
        <row r="184">
          <cell r="F184">
            <v>-625950.43000000005</v>
          </cell>
          <cell r="G184">
            <v>-1293167.25</v>
          </cell>
        </row>
        <row r="185">
          <cell r="F185">
            <v>-103333.89</v>
          </cell>
          <cell r="G185">
            <v>-170655.43</v>
          </cell>
        </row>
        <row r="186">
          <cell r="F186">
            <v>-225352.02</v>
          </cell>
          <cell r="G186">
            <v>-392924.45</v>
          </cell>
        </row>
        <row r="187">
          <cell r="F187">
            <v>-45343.59</v>
          </cell>
          <cell r="G187">
            <v>-70333.3</v>
          </cell>
        </row>
        <row r="188">
          <cell r="F188">
            <v>-5735.32</v>
          </cell>
          <cell r="G188">
            <v>-11418.17</v>
          </cell>
        </row>
        <row r="189">
          <cell r="F189">
            <v>8221.7999999999993</v>
          </cell>
          <cell r="G189">
            <v>-21446.59</v>
          </cell>
        </row>
        <row r="190">
          <cell r="F190">
            <v>17930.23</v>
          </cell>
          <cell r="G190">
            <v>-55918.95</v>
          </cell>
        </row>
        <row r="191">
          <cell r="F191">
            <v>3607.78</v>
          </cell>
          <cell r="G191">
            <v>-7405.23</v>
          </cell>
        </row>
        <row r="192">
          <cell r="F192">
            <v>456.27</v>
          </cell>
          <cell r="G192">
            <v>-2048.2800000000002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-169782328.40000001</v>
          </cell>
          <cell r="G197">
            <v>-340486951.88999999</v>
          </cell>
        </row>
        <row r="198">
          <cell r="F198">
            <v>-369780465.60000002</v>
          </cell>
          <cell r="G198">
            <v>-741576627.88999999</v>
          </cell>
        </row>
        <row r="199">
          <cell r="F199">
            <v>-74586044.969999999</v>
          </cell>
          <cell r="G199">
            <v>-149534818.94999999</v>
          </cell>
        </row>
        <row r="200">
          <cell r="F200">
            <v>-9384997.4100000001</v>
          </cell>
          <cell r="G200">
            <v>-18835967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9">
          <cell r="F209">
            <v>0</v>
          </cell>
        </row>
        <row r="220">
          <cell r="F220">
            <v>170811335.96000001</v>
          </cell>
          <cell r="G220">
            <v>415438215.63</v>
          </cell>
        </row>
        <row r="221">
          <cell r="F221">
            <v>370219125</v>
          </cell>
          <cell r="G221">
            <v>742654924</v>
          </cell>
        </row>
        <row r="222">
          <cell r="F222">
            <v>68090769</v>
          </cell>
          <cell r="G222">
            <v>137382395</v>
          </cell>
        </row>
        <row r="223">
          <cell r="F223">
            <v>1471990.71</v>
          </cell>
          <cell r="G223">
            <v>3905105.18</v>
          </cell>
        </row>
        <row r="225">
          <cell r="F225">
            <v>4966092.6399999997</v>
          </cell>
          <cell r="G225">
            <v>9383042.0199999996</v>
          </cell>
        </row>
        <row r="226">
          <cell r="F226">
            <v>1414293.75</v>
          </cell>
          <cell r="G226">
            <v>3913732.29</v>
          </cell>
        </row>
        <row r="227">
          <cell r="F227">
            <v>613355.82999999996</v>
          </cell>
          <cell r="G227">
            <v>1189323.4099999999</v>
          </cell>
        </row>
        <row r="228">
          <cell r="F228">
            <v>483391.05</v>
          </cell>
          <cell r="G228">
            <v>688929.41</v>
          </cell>
        </row>
        <row r="229">
          <cell r="F229">
            <v>-4391269.72</v>
          </cell>
          <cell r="G229">
            <v>-6284454.9299999997</v>
          </cell>
        </row>
        <row r="230">
          <cell r="F230">
            <v>24116</v>
          </cell>
          <cell r="G230">
            <v>225079</v>
          </cell>
        </row>
        <row r="231">
          <cell r="F231">
            <v>-1152909</v>
          </cell>
          <cell r="G231">
            <v>-1159799</v>
          </cell>
        </row>
        <row r="232">
          <cell r="F232">
            <v>-5591.33</v>
          </cell>
          <cell r="G232">
            <v>-114359.06</v>
          </cell>
        </row>
        <row r="233">
          <cell r="F233">
            <v>1002356.42</v>
          </cell>
          <cell r="G233">
            <v>2527269.87</v>
          </cell>
        </row>
        <row r="234">
          <cell r="F234">
            <v>438472.06</v>
          </cell>
          <cell r="G234">
            <v>406588.72</v>
          </cell>
        </row>
        <row r="235">
          <cell r="F235">
            <v>957316.34</v>
          </cell>
          <cell r="G235">
            <v>1019908.98</v>
          </cell>
        </row>
        <row r="236">
          <cell r="F236">
            <v>131352.20000000001</v>
          </cell>
          <cell r="G236">
            <v>226986.46</v>
          </cell>
        </row>
      </sheetData>
      <sheetData sheetId="5" refreshError="1">
        <row r="184">
          <cell r="I184">
            <v>-1588.12</v>
          </cell>
          <cell r="J184">
            <v>-1588.12</v>
          </cell>
        </row>
        <row r="185">
          <cell r="I185">
            <v>-319.61</v>
          </cell>
          <cell r="J185">
            <v>-319.61</v>
          </cell>
        </row>
        <row r="186">
          <cell r="I186">
            <v>-728.35</v>
          </cell>
          <cell r="J186">
            <v>-728.35</v>
          </cell>
        </row>
        <row r="187">
          <cell r="I187">
            <v>-40.69</v>
          </cell>
          <cell r="J187">
            <v>-40.69</v>
          </cell>
        </row>
        <row r="188">
          <cell r="I188">
            <v>-16442724.390000001</v>
          </cell>
          <cell r="J188">
            <v>-16442724.390000001</v>
          </cell>
        </row>
        <row r="189">
          <cell r="I189">
            <v>-2147180.44</v>
          </cell>
          <cell r="J189">
            <v>-2147180.44</v>
          </cell>
        </row>
        <row r="190">
          <cell r="I190">
            <v>-709754</v>
          </cell>
          <cell r="J190">
            <v>-709754</v>
          </cell>
        </row>
        <row r="191">
          <cell r="I191">
            <v>-667216.81999999995</v>
          </cell>
          <cell r="J191">
            <v>-667216.81999999995</v>
          </cell>
        </row>
        <row r="192">
          <cell r="I192">
            <v>-67321.539999999994</v>
          </cell>
          <cell r="J192">
            <v>-67321.539999999994</v>
          </cell>
        </row>
        <row r="193">
          <cell r="I193">
            <v>-167572.43</v>
          </cell>
          <cell r="J193">
            <v>-167572.43</v>
          </cell>
        </row>
        <row r="194">
          <cell r="I194">
            <v>-24989.71</v>
          </cell>
          <cell r="J194">
            <v>-24989.71</v>
          </cell>
        </row>
        <row r="195">
          <cell r="I195">
            <v>-5682.85</v>
          </cell>
          <cell r="J195">
            <v>-5682.85</v>
          </cell>
        </row>
        <row r="196">
          <cell r="I196">
            <v>-29668.39</v>
          </cell>
          <cell r="J196">
            <v>-29668.39</v>
          </cell>
        </row>
        <row r="197">
          <cell r="I197">
            <v>-73849.179999999993</v>
          </cell>
          <cell r="J197">
            <v>-73849.179999999993</v>
          </cell>
        </row>
        <row r="198">
          <cell r="I198">
            <v>-11013.01</v>
          </cell>
          <cell r="J198">
            <v>-11013.01</v>
          </cell>
        </row>
        <row r="199">
          <cell r="I199">
            <v>-2504.5500000000002</v>
          </cell>
          <cell r="J199">
            <v>-2504.5500000000002</v>
          </cell>
        </row>
        <row r="200">
          <cell r="I200">
            <v>0</v>
          </cell>
          <cell r="J200">
            <v>0</v>
          </cell>
        </row>
        <row r="201">
          <cell r="I201">
            <v>0</v>
          </cell>
          <cell r="J201">
            <v>0</v>
          </cell>
        </row>
        <row r="202">
          <cell r="I202">
            <v>0</v>
          </cell>
          <cell r="J202">
            <v>0</v>
          </cell>
        </row>
        <row r="203">
          <cell r="I203">
            <v>0</v>
          </cell>
          <cell r="J203">
            <v>0</v>
          </cell>
        </row>
        <row r="204">
          <cell r="J204">
            <v>-170704623.49000001</v>
          </cell>
        </row>
        <row r="205">
          <cell r="J205">
            <v>-371796162.29000002</v>
          </cell>
        </row>
        <row r="206">
          <cell r="J206">
            <v>-74948773.980000004</v>
          </cell>
        </row>
        <row r="207">
          <cell r="J207">
            <v>-9450969.5899999999</v>
          </cell>
        </row>
        <row r="227">
          <cell r="I227">
            <v>244626879.66999999</v>
          </cell>
          <cell r="J227">
            <v>244626879.66999999</v>
          </cell>
        </row>
        <row r="228">
          <cell r="I228">
            <v>372435799</v>
          </cell>
          <cell r="J228">
            <v>372435799</v>
          </cell>
        </row>
        <row r="229">
          <cell r="I229">
            <v>69291626</v>
          </cell>
          <cell r="J229">
            <v>69291626</v>
          </cell>
        </row>
        <row r="230">
          <cell r="I230">
            <v>2433114.4700000002</v>
          </cell>
          <cell r="J230">
            <v>2433114.4700000002</v>
          </cell>
        </row>
        <row r="232">
          <cell r="I232">
            <v>4416949.38</v>
          </cell>
          <cell r="J232">
            <v>4416949.38</v>
          </cell>
        </row>
        <row r="233">
          <cell r="I233">
            <v>2499438.54</v>
          </cell>
          <cell r="J233">
            <v>2499438.54</v>
          </cell>
        </row>
        <row r="234">
          <cell r="I234">
            <v>575967.57999999996</v>
          </cell>
          <cell r="J234">
            <v>575967.57999999996</v>
          </cell>
        </row>
        <row r="235">
          <cell r="I235">
            <v>205538.36</v>
          </cell>
          <cell r="J235">
            <v>205538.36</v>
          </cell>
        </row>
        <row r="236">
          <cell r="I236">
            <v>-1893185.21</v>
          </cell>
          <cell r="J236">
            <v>-1893185.21</v>
          </cell>
        </row>
        <row r="237">
          <cell r="I237">
            <v>200963</v>
          </cell>
          <cell r="J237">
            <v>200963</v>
          </cell>
        </row>
        <row r="238">
          <cell r="I238">
            <v>-6890</v>
          </cell>
          <cell r="J238">
            <v>-6890</v>
          </cell>
        </row>
        <row r="239">
          <cell r="I239">
            <v>-108767.73</v>
          </cell>
          <cell r="J239">
            <v>-108767.73</v>
          </cell>
        </row>
        <row r="240">
          <cell r="I240">
            <v>1524913.45</v>
          </cell>
          <cell r="J240">
            <v>1524913.45</v>
          </cell>
        </row>
        <row r="241">
          <cell r="I241">
            <v>-31883.34</v>
          </cell>
          <cell r="J241">
            <v>-31883.34</v>
          </cell>
        </row>
        <row r="242">
          <cell r="I242">
            <v>62592.639999999999</v>
          </cell>
          <cell r="J242">
            <v>62592.639999999999</v>
          </cell>
        </row>
        <row r="243">
          <cell r="I243">
            <v>95634.26</v>
          </cell>
          <cell r="J243">
            <v>95634.26</v>
          </cell>
        </row>
      </sheetData>
      <sheetData sheetId="6" refreshError="1">
        <row r="11">
          <cell r="B11">
            <v>170649058.77000001</v>
          </cell>
          <cell r="C11">
            <v>371879806.50999999</v>
          </cell>
          <cell r="D11">
            <v>74919670.150000006</v>
          </cell>
          <cell r="E11">
            <v>9451993.9200000018</v>
          </cell>
        </row>
      </sheetData>
      <sheetData sheetId="7" refreshError="1">
        <row r="12">
          <cell r="D12">
            <v>53315.46</v>
          </cell>
        </row>
        <row r="13">
          <cell r="D13">
            <v>132708.79</v>
          </cell>
        </row>
        <row r="14">
          <cell r="D14">
            <v>19790.55</v>
          </cell>
        </row>
        <row r="15">
          <cell r="D15">
            <v>4500.2</v>
          </cell>
        </row>
        <row r="18">
          <cell r="D18">
            <v>-2990.4</v>
          </cell>
        </row>
        <row r="19">
          <cell r="D19">
            <v>-7443.57</v>
          </cell>
        </row>
        <row r="20">
          <cell r="D20">
            <v>-1110.04</v>
          </cell>
        </row>
        <row r="21">
          <cell r="D21">
            <v>-252.46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31">
          <cell r="D31">
            <v>-23514798.699999999</v>
          </cell>
        </row>
        <row r="32">
          <cell r="D32">
            <v>-11923370.02</v>
          </cell>
        </row>
        <row r="33">
          <cell r="D33">
            <v>2204328.86</v>
          </cell>
        </row>
        <row r="34">
          <cell r="D34">
            <v>184598.5</v>
          </cell>
        </row>
        <row r="37">
          <cell r="D37">
            <v>-129345528.81</v>
          </cell>
        </row>
        <row r="38">
          <cell r="D38">
            <v>-358971924</v>
          </cell>
        </row>
        <row r="39">
          <cell r="D39">
            <v>-69608452</v>
          </cell>
        </row>
        <row r="40">
          <cell r="D40">
            <v>-4413886.8899999997</v>
          </cell>
        </row>
        <row r="45">
          <cell r="D45">
            <v>-6019776.9299999997</v>
          </cell>
        </row>
        <row r="46">
          <cell r="D46">
            <v>1243332.3600000001</v>
          </cell>
        </row>
        <row r="47">
          <cell r="D47">
            <v>-620362.55000000005</v>
          </cell>
        </row>
        <row r="48">
          <cell r="D48">
            <v>-1278626.7</v>
          </cell>
        </row>
        <row r="51">
          <cell r="D51">
            <v>16387188.310000001</v>
          </cell>
        </row>
        <row r="52">
          <cell r="D52">
            <v>1883430.39</v>
          </cell>
        </row>
        <row r="53">
          <cell r="D53">
            <v>758323.6</v>
          </cell>
        </row>
        <row r="54">
          <cell r="D54">
            <v>615453.27</v>
          </cell>
        </row>
      </sheetData>
      <sheetData sheetId="8" refreshError="1">
        <row r="255">
          <cell r="F255">
            <v>-887.95</v>
          </cell>
          <cell r="G255">
            <v>-27190.080000000002</v>
          </cell>
        </row>
        <row r="256">
          <cell r="F256">
            <v>-2210.25</v>
          </cell>
          <cell r="G256">
            <v>-55867.42</v>
          </cell>
        </row>
        <row r="257">
          <cell r="F257">
            <v>-329.61</v>
          </cell>
          <cell r="G257">
            <v>-10037.84</v>
          </cell>
        </row>
        <row r="258">
          <cell r="F258">
            <v>-74.959999999999994</v>
          </cell>
          <cell r="G258">
            <v>-1507.54</v>
          </cell>
        </row>
        <row r="269">
          <cell r="F269">
            <v>-16386300.359999999</v>
          </cell>
          <cell r="G269">
            <v>-203549955.75</v>
          </cell>
        </row>
        <row r="270">
          <cell r="F270">
            <v>-1881220.14</v>
          </cell>
          <cell r="G270">
            <v>-22446212.809999999</v>
          </cell>
        </row>
        <row r="271">
          <cell r="F271">
            <v>-757993.99</v>
          </cell>
          <cell r="G271">
            <v>-11019538.93</v>
          </cell>
        </row>
        <row r="272">
          <cell r="F272">
            <v>-615378.31000000006</v>
          </cell>
          <cell r="G272">
            <v>-4150763.14</v>
          </cell>
        </row>
        <row r="274">
          <cell r="F274">
            <v>-53315.46</v>
          </cell>
          <cell r="G274">
            <v>-582449.91</v>
          </cell>
        </row>
        <row r="275">
          <cell r="F275">
            <v>-132708.79</v>
          </cell>
          <cell r="G275">
            <v>-1246919.9099999999</v>
          </cell>
        </row>
        <row r="276">
          <cell r="F276">
            <v>-19790.55</v>
          </cell>
          <cell r="G276">
            <v>-215698.73</v>
          </cell>
        </row>
        <row r="277">
          <cell r="F277">
            <v>-4500.2</v>
          </cell>
          <cell r="G277">
            <v>-38405.67</v>
          </cell>
        </row>
        <row r="278">
          <cell r="F278">
            <v>2990.4</v>
          </cell>
          <cell r="G278">
            <v>-180312.89</v>
          </cell>
        </row>
        <row r="279">
          <cell r="F279">
            <v>7443.57</v>
          </cell>
          <cell r="G279">
            <v>-418518</v>
          </cell>
        </row>
        <row r="280">
          <cell r="F280">
            <v>1110.04</v>
          </cell>
          <cell r="G280">
            <v>-67296.78</v>
          </cell>
        </row>
        <row r="281">
          <cell r="F281">
            <v>252.46</v>
          </cell>
          <cell r="G281">
            <v>-14094.08</v>
          </cell>
        </row>
        <row r="282">
          <cell r="F282">
            <v>0</v>
          </cell>
          <cell r="G282">
            <v>-1280.5</v>
          </cell>
        </row>
        <row r="283">
          <cell r="F283">
            <v>0</v>
          </cell>
          <cell r="G283">
            <v>-592.29999999999995</v>
          </cell>
        </row>
        <row r="284">
          <cell r="F284">
            <v>0</v>
          </cell>
          <cell r="G284">
            <v>-103.9</v>
          </cell>
        </row>
        <row r="285">
          <cell r="F285">
            <v>0</v>
          </cell>
          <cell r="G285">
            <v>-23.3</v>
          </cell>
        </row>
        <row r="290">
          <cell r="F290">
            <v>0</v>
          </cell>
          <cell r="G290">
            <v>0</v>
          </cell>
        </row>
        <row r="291">
          <cell r="F291">
            <v>0</v>
          </cell>
          <cell r="G291">
            <v>0</v>
          </cell>
        </row>
        <row r="292">
          <cell r="F292">
            <v>0</v>
          </cell>
          <cell r="G292">
            <v>0</v>
          </cell>
        </row>
        <row r="293">
          <cell r="F293">
            <v>0</v>
          </cell>
          <cell r="G293">
            <v>0</v>
          </cell>
        </row>
        <row r="296">
          <cell r="F296">
            <v>0</v>
          </cell>
          <cell r="G296">
            <v>0</v>
          </cell>
        </row>
        <row r="297">
          <cell r="F297">
            <v>0</v>
          </cell>
          <cell r="G297">
            <v>0</v>
          </cell>
        </row>
        <row r="298">
          <cell r="F298">
            <v>0</v>
          </cell>
          <cell r="G298">
            <v>0</v>
          </cell>
        </row>
        <row r="299">
          <cell r="F299">
            <v>0</v>
          </cell>
          <cell r="G299">
            <v>0</v>
          </cell>
        </row>
        <row r="301">
          <cell r="F301">
            <v>0</v>
          </cell>
          <cell r="G301">
            <v>0</v>
          </cell>
        </row>
        <row r="302">
          <cell r="F302">
            <v>0</v>
          </cell>
          <cell r="G302">
            <v>0</v>
          </cell>
        </row>
        <row r="303">
          <cell r="F303">
            <v>0</v>
          </cell>
          <cell r="G303">
            <v>0</v>
          </cell>
        </row>
        <row r="304">
          <cell r="F304">
            <v>0</v>
          </cell>
          <cell r="G304">
            <v>0</v>
          </cell>
        </row>
        <row r="315">
          <cell r="F315">
            <v>157888000.09999999</v>
          </cell>
          <cell r="G315">
            <v>1735912905.8800001</v>
          </cell>
        </row>
        <row r="316">
          <cell r="F316">
            <v>359221387</v>
          </cell>
          <cell r="G316">
            <v>4213593767.8400002</v>
          </cell>
        </row>
        <row r="317">
          <cell r="F317">
            <v>69607296</v>
          </cell>
          <cell r="G317">
            <v>818947538.30999994</v>
          </cell>
        </row>
        <row r="318">
          <cell r="F318">
            <v>4738372.3099999996</v>
          </cell>
          <cell r="G318">
            <v>41197745.399999999</v>
          </cell>
        </row>
        <row r="320">
          <cell r="F320">
            <v>6019776.9299999997</v>
          </cell>
          <cell r="G320">
            <v>73663557.799999997</v>
          </cell>
        </row>
        <row r="321">
          <cell r="F321">
            <v>-1243332.3600000001</v>
          </cell>
          <cell r="G321">
            <v>17141321.449999999</v>
          </cell>
        </row>
        <row r="322">
          <cell r="F322">
            <v>620362.55000000005</v>
          </cell>
          <cell r="G322">
            <v>6814256.5499999998</v>
          </cell>
        </row>
        <row r="323">
          <cell r="F323">
            <v>1278626.7</v>
          </cell>
          <cell r="G323">
            <v>6495173.8700000001</v>
          </cell>
        </row>
        <row r="325">
          <cell r="F325">
            <v>-28542471.289999999</v>
          </cell>
          <cell r="G325">
            <v>-44859956.109999999</v>
          </cell>
        </row>
        <row r="326">
          <cell r="F326">
            <v>-249463</v>
          </cell>
          <cell r="G326">
            <v>3918087</v>
          </cell>
        </row>
        <row r="327">
          <cell r="F327">
            <v>1156</v>
          </cell>
          <cell r="G327">
            <v>-52262</v>
          </cell>
        </row>
        <row r="328">
          <cell r="F328">
            <v>-331099.33</v>
          </cell>
          <cell r="G328">
            <v>-348964.63</v>
          </cell>
        </row>
        <row r="329">
          <cell r="F329">
            <v>25665573.260000002</v>
          </cell>
          <cell r="G329">
            <v>40304863.859999999</v>
          </cell>
        </row>
        <row r="330">
          <cell r="F330">
            <v>1851940.88</v>
          </cell>
          <cell r="G330">
            <v>21170527.710000001</v>
          </cell>
        </row>
        <row r="331">
          <cell r="F331">
            <v>260118.78</v>
          </cell>
          <cell r="G331">
            <v>1040310.41</v>
          </cell>
        </row>
        <row r="332">
          <cell r="F332">
            <v>358294.55</v>
          </cell>
          <cell r="G332">
            <v>4113390.42</v>
          </cell>
        </row>
      </sheetData>
      <sheetData sheetId="9" refreshError="1">
        <row r="11">
          <cell r="B11">
            <v>177440942.70999998</v>
          </cell>
          <cell r="C11">
            <v>442373194.94999993</v>
          </cell>
          <cell r="D11">
            <v>67879746.219999999</v>
          </cell>
          <cell r="E11">
            <v>14472080.699999999</v>
          </cell>
        </row>
      </sheetData>
      <sheetData sheetId="10" refreshError="1">
        <row r="13">
          <cell r="D13">
            <v>61869.32</v>
          </cell>
        </row>
        <row r="14">
          <cell r="D14">
            <v>154001.04999999999</v>
          </cell>
        </row>
        <row r="15">
          <cell r="D15">
            <v>22965.79</v>
          </cell>
        </row>
        <row r="16">
          <cell r="D16">
            <v>5222.5</v>
          </cell>
        </row>
        <row r="17">
          <cell r="E17">
            <v>1873159.22</v>
          </cell>
        </row>
        <row r="19">
          <cell r="D19">
            <v>-10595.55</v>
          </cell>
        </row>
        <row r="20">
          <cell r="D20">
            <v>-26373.87</v>
          </cell>
        </row>
        <row r="21">
          <cell r="D21">
            <v>-3933.07</v>
          </cell>
        </row>
        <row r="22">
          <cell r="D22">
            <v>-894.46</v>
          </cell>
        </row>
        <row r="23">
          <cell r="E23">
            <v>692018.22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E29">
            <v>2000</v>
          </cell>
        </row>
        <row r="32">
          <cell r="D32">
            <v>1295396.05</v>
          </cell>
        </row>
        <row r="33">
          <cell r="D33">
            <v>94728.03</v>
          </cell>
        </row>
        <row r="34">
          <cell r="D34">
            <v>-141389.85999999999</v>
          </cell>
        </row>
        <row r="35">
          <cell r="D35">
            <v>-30154.18</v>
          </cell>
        </row>
        <row r="36">
          <cell r="E36">
            <v>-38493164.93</v>
          </cell>
        </row>
        <row r="38">
          <cell r="D38">
            <v>-174151511.84999999</v>
          </cell>
        </row>
        <row r="39">
          <cell r="D39">
            <v>-371963906</v>
          </cell>
        </row>
        <row r="40">
          <cell r="D40">
            <v>-68419842</v>
          </cell>
        </row>
        <row r="41">
          <cell r="D41">
            <v>-1831658.04</v>
          </cell>
        </row>
        <row r="42">
          <cell r="E42">
            <v>-6205975683.9000006</v>
          </cell>
        </row>
        <row r="46">
          <cell r="D46">
            <v>-6440920.5800000001</v>
          </cell>
        </row>
        <row r="47">
          <cell r="D47">
            <v>-808138.01</v>
          </cell>
        </row>
        <row r="48">
          <cell r="D48">
            <v>-418015.38</v>
          </cell>
        </row>
        <row r="49">
          <cell r="D49">
            <v>-455783.57</v>
          </cell>
        </row>
        <row r="50">
          <cell r="E50">
            <v>-97438875.850000009</v>
          </cell>
        </row>
        <row r="52">
          <cell r="D52">
            <v>17513122.510000002</v>
          </cell>
        </row>
        <row r="53">
          <cell r="D53">
            <v>1799892.02</v>
          </cell>
        </row>
        <row r="54">
          <cell r="D54">
            <v>896102.65</v>
          </cell>
        </row>
        <row r="55">
          <cell r="D55">
            <v>617871.76</v>
          </cell>
        </row>
        <row r="56">
          <cell r="E56">
            <v>221616677.94</v>
          </cell>
        </row>
      </sheetData>
      <sheetData sheetId="11" refreshError="1">
        <row r="11">
          <cell r="B11">
            <v>164164538.50999999</v>
          </cell>
          <cell r="C11">
            <v>406493716.70999998</v>
          </cell>
          <cell r="D11">
            <v>59938833.160000004</v>
          </cell>
          <cell r="E11">
            <v>13887326.989999998</v>
          </cell>
        </row>
      </sheetData>
      <sheetData sheetId="12" refreshError="1">
        <row r="139">
          <cell r="F139">
            <v>-1414.56</v>
          </cell>
          <cell r="G139">
            <v>-25206.34</v>
          </cell>
        </row>
        <row r="140">
          <cell r="F140">
            <v>-3053.07</v>
          </cell>
          <cell r="G140">
            <v>-50929.59</v>
          </cell>
        </row>
        <row r="141">
          <cell r="F141">
            <v>-551.65</v>
          </cell>
          <cell r="G141">
            <v>-9301.4699999999993</v>
          </cell>
        </row>
        <row r="142">
          <cell r="F142">
            <v>-117.14</v>
          </cell>
          <cell r="G142">
            <v>-1340.08</v>
          </cell>
        </row>
        <row r="143">
          <cell r="F143">
            <v>-17742578.859999999</v>
          </cell>
          <cell r="G143">
            <v>-169651628.66999999</v>
          </cell>
        </row>
        <row r="144">
          <cell r="F144">
            <v>-1593266.78</v>
          </cell>
          <cell r="G144">
            <v>-18767828.23</v>
          </cell>
        </row>
        <row r="145">
          <cell r="F145">
            <v>-918443.67</v>
          </cell>
          <cell r="G145">
            <v>-9365849.0500000007</v>
          </cell>
        </row>
        <row r="146">
          <cell r="F146">
            <v>-531973.84</v>
          </cell>
          <cell r="G146">
            <v>-2917605.57</v>
          </cell>
        </row>
        <row r="147">
          <cell r="F147">
            <v>-7125.46</v>
          </cell>
          <cell r="G147">
            <v>-467265.13</v>
          </cell>
        </row>
        <row r="148">
          <cell r="F148">
            <v>-17735.509999999998</v>
          </cell>
          <cell r="G148">
            <v>-960210.07</v>
          </cell>
        </row>
        <row r="149">
          <cell r="F149">
            <v>-2644.92</v>
          </cell>
          <cell r="G149">
            <v>-172942.39</v>
          </cell>
        </row>
        <row r="150">
          <cell r="F150">
            <v>-601.09</v>
          </cell>
          <cell r="G150">
            <v>-28682.97</v>
          </cell>
        </row>
        <row r="151">
          <cell r="F151">
            <v>-118614.79</v>
          </cell>
          <cell r="G151">
            <v>-193898.84</v>
          </cell>
        </row>
        <row r="152">
          <cell r="F152">
            <v>-295250.33</v>
          </cell>
          <cell r="G152">
            <v>-452335.44</v>
          </cell>
        </row>
        <row r="153">
          <cell r="F153">
            <v>-44030.28</v>
          </cell>
          <cell r="G153">
            <v>-72339.89</v>
          </cell>
        </row>
        <row r="154">
          <cell r="F154">
            <v>-10013.06</v>
          </cell>
          <cell r="G154">
            <v>-15241</v>
          </cell>
        </row>
        <row r="155">
          <cell r="F155">
            <v>-1000</v>
          </cell>
          <cell r="G155">
            <v>-1280.5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3">
          <cell r="F163">
            <v>1000</v>
          </cell>
        </row>
        <row r="168">
          <cell r="F168">
            <v>142208914.68000001</v>
          </cell>
          <cell r="G168">
            <v>1403615251.72</v>
          </cell>
        </row>
        <row r="169">
          <cell r="F169">
            <v>348881399</v>
          </cell>
          <cell r="G169">
            <v>3483169291.8400002</v>
          </cell>
        </row>
        <row r="170">
          <cell r="F170">
            <v>70776497</v>
          </cell>
          <cell r="G170">
            <v>680904238.30999994</v>
          </cell>
        </row>
        <row r="171">
          <cell r="F171">
            <v>2805166.79</v>
          </cell>
          <cell r="G171">
            <v>34627715.049999997</v>
          </cell>
        </row>
        <row r="173">
          <cell r="F173">
            <v>4635698.66</v>
          </cell>
          <cell r="G173">
            <v>61202860.289999999</v>
          </cell>
        </row>
        <row r="174">
          <cell r="F174">
            <v>2118989.7200000002</v>
          </cell>
          <cell r="G174">
            <v>17576515.800000001</v>
          </cell>
        </row>
        <row r="175">
          <cell r="F175">
            <v>689744.6</v>
          </cell>
          <cell r="G175">
            <v>5775878.6200000001</v>
          </cell>
        </row>
        <row r="176">
          <cell r="F176">
            <v>256728.01</v>
          </cell>
          <cell r="G176">
            <v>4760763.5999999996</v>
          </cell>
        </row>
        <row r="177">
          <cell r="F177">
            <v>-956113.31</v>
          </cell>
          <cell r="G177">
            <v>-16059342.609999999</v>
          </cell>
        </row>
        <row r="178">
          <cell r="F178">
            <v>1651947</v>
          </cell>
          <cell r="G178">
            <v>3406733</v>
          </cell>
        </row>
        <row r="179">
          <cell r="F179">
            <v>-33710</v>
          </cell>
          <cell r="G179">
            <v>-37256</v>
          </cell>
        </row>
        <row r="180">
          <cell r="F180">
            <v>-1998.92</v>
          </cell>
          <cell r="G180">
            <v>-17865.3</v>
          </cell>
        </row>
        <row r="181">
          <cell r="F181">
            <v>-1989715.41</v>
          </cell>
          <cell r="G181">
            <v>15934686.65</v>
          </cell>
        </row>
        <row r="182">
          <cell r="F182">
            <v>-3845423.72</v>
          </cell>
          <cell r="G182">
            <v>19413314.859999999</v>
          </cell>
        </row>
        <row r="183">
          <cell r="F183">
            <v>-328521.89</v>
          </cell>
          <cell r="G183">
            <v>638801.77</v>
          </cell>
        </row>
        <row r="184">
          <cell r="F184">
            <v>-79177.34</v>
          </cell>
          <cell r="G184">
            <v>3724941.69</v>
          </cell>
        </row>
      </sheetData>
      <sheetData sheetId="13" refreshError="1">
        <row r="11">
          <cell r="B11">
            <v>156627976.67000002</v>
          </cell>
          <cell r="C11">
            <v>391660587.13999999</v>
          </cell>
          <cell r="D11">
            <v>57143843.639999993</v>
          </cell>
          <cell r="E11">
            <v>13704598.82</v>
          </cell>
        </row>
      </sheetData>
      <sheetData sheetId="14" refreshError="1">
        <row r="139">
          <cell r="F139">
            <v>-1660.37</v>
          </cell>
          <cell r="G139">
            <v>-23791.78</v>
          </cell>
        </row>
        <row r="140">
          <cell r="F140">
            <v>-3583.58</v>
          </cell>
          <cell r="G140">
            <v>-47876.52</v>
          </cell>
        </row>
        <row r="141">
          <cell r="F141">
            <v>-647.51</v>
          </cell>
          <cell r="G141">
            <v>-8749.82</v>
          </cell>
        </row>
        <row r="142">
          <cell r="F142">
            <v>-137.49</v>
          </cell>
          <cell r="G142">
            <v>-1222.94</v>
          </cell>
        </row>
        <row r="143">
          <cell r="F143">
            <v>-17411437.59</v>
          </cell>
          <cell r="G143">
            <v>-151909049.81</v>
          </cell>
        </row>
        <row r="144">
          <cell r="F144">
            <v>-1297327.02</v>
          </cell>
          <cell r="G144">
            <v>-17174561.449999999</v>
          </cell>
        </row>
        <row r="145">
          <cell r="F145">
            <v>-812557.15</v>
          </cell>
          <cell r="G145">
            <v>-8447405.3800000008</v>
          </cell>
        </row>
        <row r="146">
          <cell r="F146">
            <v>-394605.6</v>
          </cell>
          <cell r="G146">
            <v>-2385631.73</v>
          </cell>
        </row>
        <row r="147">
          <cell r="F147">
            <v>-50758.09</v>
          </cell>
          <cell r="G147">
            <v>-460139.67</v>
          </cell>
        </row>
        <row r="148">
          <cell r="F148">
            <v>-109552.74</v>
          </cell>
          <cell r="G148">
            <v>-942474.56</v>
          </cell>
        </row>
        <row r="149">
          <cell r="F149">
            <v>-19794.310000000001</v>
          </cell>
          <cell r="G149">
            <v>-170297.47</v>
          </cell>
        </row>
        <row r="150">
          <cell r="F150">
            <v>-4203.67</v>
          </cell>
          <cell r="G150">
            <v>-28081.88</v>
          </cell>
        </row>
        <row r="151">
          <cell r="F151">
            <v>302.94</v>
          </cell>
          <cell r="G151">
            <v>-75284.05</v>
          </cell>
        </row>
        <row r="152">
          <cell r="F152">
            <v>653.84</v>
          </cell>
          <cell r="G152">
            <v>-157085.10999999999</v>
          </cell>
        </row>
        <row r="153">
          <cell r="F153">
            <v>118.14</v>
          </cell>
          <cell r="G153">
            <v>-28309.61</v>
          </cell>
        </row>
        <row r="154">
          <cell r="F154">
            <v>25.08</v>
          </cell>
          <cell r="G154">
            <v>-5227.9399999999996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0</v>
          </cell>
          <cell r="G164">
            <v>-1000</v>
          </cell>
        </row>
        <row r="169">
          <cell r="F169">
            <v>111103452.84</v>
          </cell>
          <cell r="G169">
            <v>1261406337.04</v>
          </cell>
        </row>
        <row r="170">
          <cell r="F170">
            <v>355280865.13999999</v>
          </cell>
          <cell r="G170">
            <v>3134287892.8400002</v>
          </cell>
        </row>
        <row r="171">
          <cell r="F171">
            <v>69505801.370000005</v>
          </cell>
          <cell r="G171">
            <v>610127741.30999994</v>
          </cell>
        </row>
        <row r="172">
          <cell r="F172">
            <v>2653411.87</v>
          </cell>
          <cell r="G172">
            <v>31822548.260000002</v>
          </cell>
        </row>
        <row r="174">
          <cell r="F174">
            <v>4427557.0599999996</v>
          </cell>
          <cell r="G174">
            <v>56567161.630000003</v>
          </cell>
        </row>
        <row r="175">
          <cell r="F175">
            <v>1982275.81</v>
          </cell>
          <cell r="G175">
            <v>15457526.08</v>
          </cell>
        </row>
        <row r="176">
          <cell r="F176">
            <v>545018.56999999995</v>
          </cell>
          <cell r="G176">
            <v>5086134.0199999996</v>
          </cell>
        </row>
        <row r="177">
          <cell r="F177">
            <v>607885.37</v>
          </cell>
          <cell r="G177">
            <v>4504035.59</v>
          </cell>
        </row>
        <row r="178">
          <cell r="F178">
            <v>-15103229.300000001</v>
          </cell>
          <cell r="G178">
            <v>-15103229.300000001</v>
          </cell>
        </row>
        <row r="179">
          <cell r="F179">
            <v>1754786</v>
          </cell>
          <cell r="G179">
            <v>1754786</v>
          </cell>
        </row>
        <row r="180">
          <cell r="F180">
            <v>-3546</v>
          </cell>
          <cell r="G180">
            <v>-3546</v>
          </cell>
        </row>
        <row r="181">
          <cell r="F181">
            <v>-15866.38</v>
          </cell>
          <cell r="G181">
            <v>-15866.38</v>
          </cell>
        </row>
        <row r="182">
          <cell r="F182">
            <v>-8461955.6099999994</v>
          </cell>
          <cell r="G182">
            <v>17924402.059999999</v>
          </cell>
        </row>
        <row r="183">
          <cell r="F183">
            <v>8113696.6200000001</v>
          </cell>
          <cell r="G183">
            <v>23258738.579999998</v>
          </cell>
        </row>
        <row r="184">
          <cell r="F184">
            <v>-2060848.73</v>
          </cell>
          <cell r="G184">
            <v>967323.66</v>
          </cell>
        </row>
        <row r="185">
          <cell r="F185">
            <v>3492404.85</v>
          </cell>
          <cell r="G185">
            <v>3804119.03</v>
          </cell>
        </row>
      </sheetData>
      <sheetData sheetId="15" refreshError="1">
        <row r="11">
          <cell r="B11">
            <v>168130247.16999999</v>
          </cell>
          <cell r="C11">
            <v>364040983.38</v>
          </cell>
          <cell r="D11">
            <v>65660498.029999994</v>
          </cell>
          <cell r="E11">
            <v>14217014.210000001</v>
          </cell>
        </row>
      </sheetData>
      <sheetData sheetId="16" refreshError="1">
        <row r="11">
          <cell r="B11">
            <v>168256679.56999999</v>
          </cell>
          <cell r="C11">
            <v>364280321.85000002</v>
          </cell>
          <cell r="D11">
            <v>65711996.720000006</v>
          </cell>
          <cell r="E11">
            <v>14220933.859999999</v>
          </cell>
        </row>
      </sheetData>
      <sheetData sheetId="17" refreshError="1">
        <row r="139">
          <cell r="F139">
            <v>-1903.57</v>
          </cell>
          <cell r="G139">
            <v>-22131.41</v>
          </cell>
        </row>
        <row r="140">
          <cell r="F140">
            <v>-4108.51</v>
          </cell>
          <cell r="G140">
            <v>-44292.94</v>
          </cell>
        </row>
        <row r="141">
          <cell r="F141">
            <v>-742.35</v>
          </cell>
          <cell r="G141">
            <v>-8102.31</v>
          </cell>
        </row>
        <row r="142">
          <cell r="F142">
            <v>-157.63</v>
          </cell>
          <cell r="G142">
            <v>-1085.45</v>
          </cell>
        </row>
        <row r="143">
          <cell r="F143">
            <v>-18210118.52</v>
          </cell>
          <cell r="G143">
            <v>-134497612.22</v>
          </cell>
        </row>
        <row r="144">
          <cell r="F144">
            <v>-1106166.08</v>
          </cell>
          <cell r="G144">
            <v>-15877234.43</v>
          </cell>
        </row>
        <row r="145">
          <cell r="F145">
            <v>-794279.12</v>
          </cell>
          <cell r="G145">
            <v>-7634848.2300000004</v>
          </cell>
        </row>
        <row r="146">
          <cell r="F146">
            <v>-320078.90000000002</v>
          </cell>
          <cell r="G146">
            <v>-1991026.13</v>
          </cell>
        </row>
        <row r="147">
          <cell r="F147">
            <v>-46814.18</v>
          </cell>
          <cell r="G147">
            <v>-409381.58</v>
          </cell>
        </row>
        <row r="148">
          <cell r="F148">
            <v>-101040.51</v>
          </cell>
          <cell r="G148">
            <v>-832921.82</v>
          </cell>
        </row>
        <row r="149">
          <cell r="F149">
            <v>-18256.32</v>
          </cell>
          <cell r="G149">
            <v>-150503.16</v>
          </cell>
        </row>
        <row r="150">
          <cell r="F150">
            <v>-3877.04</v>
          </cell>
          <cell r="G150">
            <v>-23878.21</v>
          </cell>
        </row>
        <row r="151">
          <cell r="F151">
            <v>12345.57</v>
          </cell>
          <cell r="G151">
            <v>-75586.990000000005</v>
          </cell>
        </row>
        <row r="152">
          <cell r="F152">
            <v>26645.64</v>
          </cell>
          <cell r="G152">
            <v>-157738.95000000001</v>
          </cell>
        </row>
        <row r="153">
          <cell r="F153">
            <v>4814.51</v>
          </cell>
          <cell r="G153">
            <v>-28427.75</v>
          </cell>
        </row>
        <row r="154">
          <cell r="F154">
            <v>1022.07</v>
          </cell>
          <cell r="G154">
            <v>-5253.02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0</v>
          </cell>
          <cell r="G164">
            <v>-1000</v>
          </cell>
        </row>
        <row r="165">
          <cell r="F165">
            <v>160958722.22999999</v>
          </cell>
          <cell r="G165">
            <v>1150302884.2</v>
          </cell>
        </row>
        <row r="166">
          <cell r="F166">
            <v>313460851.64999998</v>
          </cell>
          <cell r="G166">
            <v>2779007027.6999998</v>
          </cell>
        </row>
        <row r="167">
          <cell r="F167">
            <v>68919441.469999999</v>
          </cell>
          <cell r="G167">
            <v>540621939.94000006</v>
          </cell>
        </row>
        <row r="168">
          <cell r="F168">
            <v>3099028.34</v>
          </cell>
          <cell r="G168">
            <v>29169136.390000001</v>
          </cell>
        </row>
        <row r="170">
          <cell r="F170">
            <v>4947388.22</v>
          </cell>
          <cell r="G170">
            <v>52139604.57</v>
          </cell>
        </row>
        <row r="171">
          <cell r="F171">
            <v>2130125</v>
          </cell>
          <cell r="G171">
            <v>13475250.27</v>
          </cell>
        </row>
        <row r="172">
          <cell r="F172">
            <v>712047</v>
          </cell>
          <cell r="G172">
            <v>4541115.45</v>
          </cell>
        </row>
        <row r="173">
          <cell r="F173">
            <v>447791</v>
          </cell>
          <cell r="G173">
            <v>3896150.22</v>
          </cell>
        </row>
        <row r="174">
          <cell r="F174">
            <v>819388.23</v>
          </cell>
          <cell r="G174">
            <v>26386357.670000002</v>
          </cell>
        </row>
        <row r="175">
          <cell r="F175">
            <v>3503701.36</v>
          </cell>
          <cell r="G175">
            <v>15145041.960000001</v>
          </cell>
        </row>
        <row r="176">
          <cell r="F176">
            <v>288.01</v>
          </cell>
          <cell r="G176">
            <v>3028172.39</v>
          </cell>
        </row>
        <row r="177">
          <cell r="F177">
            <v>1859.18</v>
          </cell>
          <cell r="G177">
            <v>311714.18</v>
          </cell>
        </row>
      </sheetData>
      <sheetData sheetId="18" refreshError="1">
        <row r="139">
          <cell r="F139">
            <v>-2190.54</v>
          </cell>
          <cell r="G139">
            <v>-20227.84</v>
          </cell>
        </row>
        <row r="140">
          <cell r="F140">
            <v>-4625.51</v>
          </cell>
          <cell r="G140">
            <v>-40184.43</v>
          </cell>
        </row>
        <row r="141">
          <cell r="F141">
            <v>-811.4</v>
          </cell>
          <cell r="G141">
            <v>-7359.96</v>
          </cell>
        </row>
        <row r="142">
          <cell r="F142">
            <v>-181.96</v>
          </cell>
          <cell r="G142">
            <v>-927.82</v>
          </cell>
        </row>
        <row r="143">
          <cell r="F143">
            <v>-16301426.58</v>
          </cell>
          <cell r="G143">
            <v>-116287493.7</v>
          </cell>
        </row>
        <row r="144">
          <cell r="F144">
            <v>-2221810.77</v>
          </cell>
          <cell r="G144">
            <v>-14771068.35</v>
          </cell>
        </row>
        <row r="145">
          <cell r="F145">
            <v>-983010.9</v>
          </cell>
          <cell r="G145">
            <v>-6840569.1100000003</v>
          </cell>
        </row>
        <row r="146">
          <cell r="F146">
            <v>-224115.11</v>
          </cell>
          <cell r="G146">
            <v>-1670947.23</v>
          </cell>
        </row>
        <row r="147">
          <cell r="F147">
            <v>-26014.28</v>
          </cell>
          <cell r="G147">
            <v>-362567.4</v>
          </cell>
        </row>
        <row r="148">
          <cell r="F148">
            <v>-56147.87</v>
          </cell>
          <cell r="G148">
            <v>-731881.31</v>
          </cell>
        </row>
        <row r="149">
          <cell r="F149">
            <v>-10144.51</v>
          </cell>
          <cell r="G149">
            <v>-132246.84</v>
          </cell>
        </row>
        <row r="150">
          <cell r="F150">
            <v>-2155.8200000000002</v>
          </cell>
          <cell r="G150">
            <v>-20001.169999999998</v>
          </cell>
        </row>
        <row r="151">
          <cell r="F151">
            <v>-47450.39</v>
          </cell>
          <cell r="G151">
            <v>-87932.56</v>
          </cell>
        </row>
        <row r="152">
          <cell r="F152">
            <v>-102413.04</v>
          </cell>
          <cell r="G152">
            <v>-184384.59</v>
          </cell>
        </row>
        <row r="153">
          <cell r="F153">
            <v>-18504.650000000001</v>
          </cell>
          <cell r="G153">
            <v>-33242.26</v>
          </cell>
        </row>
        <row r="154">
          <cell r="F154">
            <v>-3928.33</v>
          </cell>
          <cell r="G154">
            <v>-6275.09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4">
          <cell r="F164">
            <v>-1000</v>
          </cell>
          <cell r="G164">
            <v>-1000</v>
          </cell>
        </row>
        <row r="165">
          <cell r="F165">
            <v>148863811.28</v>
          </cell>
          <cell r="G165">
            <v>989344161.97000003</v>
          </cell>
        </row>
        <row r="166">
          <cell r="F166">
            <v>351360816.29000002</v>
          </cell>
          <cell r="G166">
            <v>2465546176.0500002</v>
          </cell>
        </row>
        <row r="167">
          <cell r="F167">
            <v>67402896.180000007</v>
          </cell>
          <cell r="G167">
            <v>471702498.47000003</v>
          </cell>
        </row>
        <row r="168">
          <cell r="F168">
            <v>3179417.7</v>
          </cell>
          <cell r="G168">
            <v>26070108.050000001</v>
          </cell>
        </row>
        <row r="170">
          <cell r="F170">
            <v>6894404.46</v>
          </cell>
          <cell r="G170">
            <v>47192216.350000001</v>
          </cell>
        </row>
        <row r="171">
          <cell r="F171">
            <v>3190364.27</v>
          </cell>
          <cell r="G171">
            <v>11345125.27</v>
          </cell>
        </row>
        <row r="172">
          <cell r="F172">
            <v>1456645.45</v>
          </cell>
          <cell r="G172">
            <v>3829068.45</v>
          </cell>
        </row>
        <row r="173">
          <cell r="F173">
            <v>1177387.22</v>
          </cell>
          <cell r="G173">
            <v>3448359.22</v>
          </cell>
        </row>
        <row r="174">
          <cell r="F174">
            <v>1527217.98</v>
          </cell>
          <cell r="G174">
            <v>25566969.440000001</v>
          </cell>
        </row>
        <row r="175">
          <cell r="F175">
            <v>4944232.57</v>
          </cell>
          <cell r="G175">
            <v>11641340.6</v>
          </cell>
        </row>
        <row r="176">
          <cell r="F176">
            <v>865849.44</v>
          </cell>
          <cell r="G176">
            <v>3027884.38</v>
          </cell>
        </row>
        <row r="177">
          <cell r="F177">
            <v>190772.87</v>
          </cell>
          <cell r="G177">
            <v>309855</v>
          </cell>
        </row>
      </sheetData>
      <sheetData sheetId="19" refreshError="1">
        <row r="11">
          <cell r="B11">
            <v>171121963.24000001</v>
          </cell>
          <cell r="C11">
            <v>369863357.23000002</v>
          </cell>
          <cell r="D11">
            <v>66771367.769999988</v>
          </cell>
          <cell r="E11">
            <v>14282749.73</v>
          </cell>
        </row>
      </sheetData>
      <sheetData sheetId="20" refreshError="1">
        <row r="139">
          <cell r="F139">
            <v>-2456.14</v>
          </cell>
          <cell r="G139">
            <v>-18037.3</v>
          </cell>
        </row>
        <row r="140">
          <cell r="F140">
            <v>-5186.3500000000004</v>
          </cell>
          <cell r="G140">
            <v>-35558.92</v>
          </cell>
        </row>
        <row r="141">
          <cell r="F141">
            <v>-909.78</v>
          </cell>
          <cell r="G141">
            <v>-6548.56</v>
          </cell>
        </row>
        <row r="142">
          <cell r="F142">
            <v>-204.01</v>
          </cell>
          <cell r="G142">
            <v>-745.86</v>
          </cell>
        </row>
        <row r="143">
          <cell r="F143">
            <v>-17842456.559999999</v>
          </cell>
          <cell r="G143">
            <v>-99986067.120000005</v>
          </cell>
        </row>
        <row r="144">
          <cell r="F144">
            <v>-1506944.31</v>
          </cell>
          <cell r="G144">
            <v>-12549257.58</v>
          </cell>
        </row>
        <row r="145">
          <cell r="F145">
            <v>-900864.45</v>
          </cell>
          <cell r="G145">
            <v>-5857558.21</v>
          </cell>
        </row>
        <row r="146">
          <cell r="F146">
            <v>-245464.87</v>
          </cell>
          <cell r="G146">
            <v>-1446832.12</v>
          </cell>
        </row>
        <row r="147">
          <cell r="F147">
            <v>-53465.7</v>
          </cell>
          <cell r="G147">
            <v>-336553.12</v>
          </cell>
        </row>
        <row r="148">
          <cell r="F148">
            <v>-112894.43</v>
          </cell>
          <cell r="G148">
            <v>-675733.44</v>
          </cell>
        </row>
        <row r="149">
          <cell r="F149">
            <v>-19803.91</v>
          </cell>
          <cell r="G149">
            <v>-122102.33</v>
          </cell>
        </row>
        <row r="150">
          <cell r="F150">
            <v>-4440.3500000000004</v>
          </cell>
          <cell r="G150">
            <v>-17845.349999999999</v>
          </cell>
        </row>
        <row r="151">
          <cell r="F151">
            <v>168.3</v>
          </cell>
          <cell r="G151">
            <v>-40482.17</v>
          </cell>
        </row>
        <row r="152">
          <cell r="F152">
            <v>355.38</v>
          </cell>
          <cell r="G152">
            <v>-81971.55</v>
          </cell>
        </row>
        <row r="153">
          <cell r="F153">
            <v>62.34</v>
          </cell>
          <cell r="G153">
            <v>-14737.61</v>
          </cell>
        </row>
        <row r="154">
          <cell r="F154">
            <v>13.98</v>
          </cell>
          <cell r="G154">
            <v>-2346.7600000000002</v>
          </cell>
        </row>
        <row r="155">
          <cell r="F155">
            <v>0</v>
          </cell>
          <cell r="G155">
            <v>-280.5</v>
          </cell>
        </row>
        <row r="156">
          <cell r="F156">
            <v>0</v>
          </cell>
          <cell r="G156">
            <v>-592.29999999999995</v>
          </cell>
        </row>
        <row r="157">
          <cell r="F157">
            <v>0</v>
          </cell>
          <cell r="G157">
            <v>-103.9</v>
          </cell>
        </row>
        <row r="158">
          <cell r="F158">
            <v>0</v>
          </cell>
          <cell r="G158">
            <v>-23.3</v>
          </cell>
        </row>
        <row r="163">
          <cell r="F163">
            <v>142847880.84</v>
          </cell>
          <cell r="G163">
            <v>840480350.69000006</v>
          </cell>
        </row>
        <row r="164">
          <cell r="F164">
            <v>356339302.42000002</v>
          </cell>
          <cell r="G164">
            <v>2114185359.76</v>
          </cell>
        </row>
        <row r="165">
          <cell r="F165">
            <v>67775607.599999994</v>
          </cell>
          <cell r="G165">
            <v>404299602.29000002</v>
          </cell>
        </row>
        <row r="166">
          <cell r="F166">
            <v>4024964.48</v>
          </cell>
          <cell r="G166">
            <v>22890690.350000001</v>
          </cell>
        </row>
        <row r="168">
          <cell r="F168">
            <v>8126205</v>
          </cell>
          <cell r="G168">
            <v>40297811.890000001</v>
          </cell>
        </row>
        <row r="169">
          <cell r="F169">
            <v>1972913</v>
          </cell>
          <cell r="G169">
            <v>8154761</v>
          </cell>
        </row>
        <row r="170">
          <cell r="F170">
            <v>670403</v>
          </cell>
          <cell r="G170">
            <v>2372423</v>
          </cell>
        </row>
        <row r="171">
          <cell r="F171">
            <v>431333</v>
          </cell>
          <cell r="G171">
            <v>2270972</v>
          </cell>
        </row>
        <row r="172">
          <cell r="F172">
            <v>11543718.02</v>
          </cell>
          <cell r="G172">
            <v>24039751.460000001</v>
          </cell>
        </row>
        <row r="173">
          <cell r="F173">
            <v>8227288.8099999996</v>
          </cell>
          <cell r="G173">
            <v>6697108.0300000003</v>
          </cell>
        </row>
        <row r="174">
          <cell r="F174">
            <v>202997.49</v>
          </cell>
          <cell r="G174">
            <v>2162034.94</v>
          </cell>
        </row>
        <row r="175">
          <cell r="F175">
            <v>-28569.07</v>
          </cell>
          <cell r="G175">
            <v>119082.13</v>
          </cell>
        </row>
      </sheetData>
      <sheetData sheetId="21" refreshError="1">
        <row r="11">
          <cell r="B11">
            <v>153468682.77000001</v>
          </cell>
          <cell r="C11">
            <v>323679224.09999996</v>
          </cell>
          <cell r="D11">
            <v>56860055.390000001</v>
          </cell>
          <cell r="E11">
            <v>12619547.040000001</v>
          </cell>
        </row>
      </sheetData>
      <sheetData sheetId="22" refreshError="1">
        <row r="11">
          <cell r="B11">
            <v>150203628.25999999</v>
          </cell>
          <cell r="C11">
            <v>317537214.77999997</v>
          </cell>
          <cell r="D11">
            <v>55659546.979999997</v>
          </cell>
          <cell r="E11">
            <v>12581204.359999999</v>
          </cell>
        </row>
      </sheetData>
      <sheetData sheetId="23" refreshError="1">
        <row r="11">
          <cell r="B11">
            <v>153634414.44</v>
          </cell>
          <cell r="C11">
            <v>324121745.32999998</v>
          </cell>
          <cell r="D11">
            <v>56935278.180000007</v>
          </cell>
          <cell r="E11">
            <v>12637713.299999999</v>
          </cell>
        </row>
      </sheetData>
      <sheetData sheetId="24" refreshError="1">
        <row r="138">
          <cell r="F138">
            <v>-2675.14</v>
          </cell>
          <cell r="G138">
            <v>-15581.16</v>
          </cell>
        </row>
        <row r="139">
          <cell r="F139">
            <v>-5648.79</v>
          </cell>
          <cell r="G139">
            <v>-30372.57</v>
          </cell>
        </row>
        <row r="140">
          <cell r="F140">
            <v>-990.9</v>
          </cell>
          <cell r="G140">
            <v>-5638.78</v>
          </cell>
        </row>
        <row r="141">
          <cell r="F141">
            <v>-222.21</v>
          </cell>
          <cell r="G141">
            <v>-541.85</v>
          </cell>
        </row>
        <row r="142">
          <cell r="F142">
            <v>-15712618.52</v>
          </cell>
          <cell r="G142">
            <v>-82143610.560000002</v>
          </cell>
        </row>
        <row r="143">
          <cell r="F143">
            <v>-1530470.52</v>
          </cell>
          <cell r="G143">
            <v>-11042313.27</v>
          </cell>
        </row>
        <row r="144">
          <cell r="F144">
            <v>-783003.63</v>
          </cell>
          <cell r="G144">
            <v>-4956693.76</v>
          </cell>
        </row>
        <row r="145">
          <cell r="F145">
            <v>-235581.78</v>
          </cell>
          <cell r="G145">
            <v>-1201367.25</v>
          </cell>
        </row>
        <row r="146">
          <cell r="F146">
            <v>-119799.45</v>
          </cell>
          <cell r="G146">
            <v>-283087.42</v>
          </cell>
        </row>
        <row r="147">
          <cell r="F147">
            <v>-252965.08</v>
          </cell>
          <cell r="G147">
            <v>-562839.01</v>
          </cell>
        </row>
        <row r="148">
          <cell r="F148">
            <v>-44374.77</v>
          </cell>
          <cell r="G148">
            <v>-102298.42</v>
          </cell>
        </row>
        <row r="149">
          <cell r="F149">
            <v>-9950.82</v>
          </cell>
          <cell r="G149">
            <v>-13405</v>
          </cell>
        </row>
        <row r="150">
          <cell r="F150">
            <v>1763.52</v>
          </cell>
          <cell r="G150">
            <v>-40650.47</v>
          </cell>
        </row>
        <row r="151">
          <cell r="F151">
            <v>3723.82</v>
          </cell>
          <cell r="G151">
            <v>-82326.929999999993</v>
          </cell>
        </row>
        <row r="152">
          <cell r="F152">
            <v>653.23</v>
          </cell>
          <cell r="G152">
            <v>-14799.95</v>
          </cell>
        </row>
        <row r="153">
          <cell r="F153">
            <v>146.49</v>
          </cell>
          <cell r="G153">
            <v>-2360.7399999999998</v>
          </cell>
        </row>
        <row r="154">
          <cell r="F154">
            <v>-280.5</v>
          </cell>
          <cell r="G154">
            <v>-280.5</v>
          </cell>
        </row>
        <row r="155">
          <cell r="F155">
            <v>-592.29999999999995</v>
          </cell>
          <cell r="G155">
            <v>-592.29999999999995</v>
          </cell>
        </row>
        <row r="156">
          <cell r="F156">
            <v>-103.9</v>
          </cell>
          <cell r="G156">
            <v>-103.9</v>
          </cell>
        </row>
        <row r="157">
          <cell r="F157">
            <v>-23.3</v>
          </cell>
          <cell r="G157">
            <v>-23.3</v>
          </cell>
        </row>
        <row r="162">
          <cell r="F162">
            <v>111604091.69</v>
          </cell>
          <cell r="G162">
            <v>697632469.85000002</v>
          </cell>
        </row>
        <row r="163">
          <cell r="F163">
            <v>343851950</v>
          </cell>
          <cell r="G163">
            <v>1757846057.3399999</v>
          </cell>
        </row>
        <row r="164">
          <cell r="F164">
            <v>68943219</v>
          </cell>
          <cell r="G164">
            <v>336523994.69</v>
          </cell>
        </row>
        <row r="165">
          <cell r="F165">
            <v>3495945.47</v>
          </cell>
          <cell r="G165">
            <v>18865725.870000001</v>
          </cell>
        </row>
        <row r="167">
          <cell r="F167">
            <v>5433837.3399999999</v>
          </cell>
          <cell r="G167">
            <v>32171606.890000001</v>
          </cell>
        </row>
        <row r="168">
          <cell r="F168">
            <v>1316127</v>
          </cell>
          <cell r="G168">
            <v>6181848</v>
          </cell>
        </row>
        <row r="169">
          <cell r="F169">
            <v>163824</v>
          </cell>
          <cell r="G169">
            <v>1702020</v>
          </cell>
        </row>
        <row r="170">
          <cell r="F170">
            <v>404252</v>
          </cell>
          <cell r="G170">
            <v>1839639</v>
          </cell>
        </row>
        <row r="171">
          <cell r="F171">
            <v>2594096.85</v>
          </cell>
          <cell r="G171">
            <v>12496033.439999999</v>
          </cell>
        </row>
        <row r="172">
          <cell r="F172">
            <v>-1108491.3400000001</v>
          </cell>
          <cell r="G172">
            <v>-1530180.78</v>
          </cell>
        </row>
        <row r="173">
          <cell r="F173">
            <v>123748.72</v>
          </cell>
          <cell r="G173">
            <v>1959037.45</v>
          </cell>
        </row>
        <row r="174">
          <cell r="F174">
            <v>33168.92</v>
          </cell>
          <cell r="G174">
            <v>147651.20000000001</v>
          </cell>
        </row>
      </sheetData>
      <sheetData sheetId="25" refreshError="1">
        <row r="161">
          <cell r="G161">
            <v>586028378.15999997</v>
          </cell>
        </row>
        <row r="162">
          <cell r="G162">
            <v>1413994107.3399999</v>
          </cell>
        </row>
        <row r="163">
          <cell r="G163">
            <v>267580775.69</v>
          </cell>
        </row>
        <row r="164">
          <cell r="G164">
            <v>15369780.4</v>
          </cell>
        </row>
        <row r="166">
          <cell r="G166">
            <v>26737769.550000001</v>
          </cell>
        </row>
        <row r="167">
          <cell r="G167">
            <v>4865721</v>
          </cell>
        </row>
        <row r="168">
          <cell r="G168">
            <v>1538196</v>
          </cell>
        </row>
        <row r="169">
          <cell r="G169">
            <v>1435387</v>
          </cell>
        </row>
        <row r="170">
          <cell r="G170">
            <v>9901936.5899999999</v>
          </cell>
        </row>
        <row r="171">
          <cell r="G171">
            <v>-421689.44</v>
          </cell>
        </row>
        <row r="172">
          <cell r="G172">
            <v>1835288.73</v>
          </cell>
        </row>
        <row r="173">
          <cell r="G173">
            <v>114482.28</v>
          </cell>
        </row>
      </sheetData>
      <sheetData sheetId="26" refreshError="1">
        <row r="140">
          <cell r="F140">
            <v>-2887.94</v>
          </cell>
          <cell r="G140">
            <v>-12906.02</v>
          </cell>
        </row>
        <row r="141">
          <cell r="F141">
            <v>-5539.42</v>
          </cell>
          <cell r="G141">
            <v>-24723.78</v>
          </cell>
        </row>
        <row r="142">
          <cell r="F142">
            <v>-1028.75</v>
          </cell>
          <cell r="G142">
            <v>-4647.88</v>
          </cell>
        </row>
        <row r="143">
          <cell r="F143">
            <v>-78.180000000000007</v>
          </cell>
          <cell r="G143">
            <v>-319.64</v>
          </cell>
        </row>
        <row r="144">
          <cell r="F144">
            <v>-17214515.969999999</v>
          </cell>
          <cell r="G144">
            <v>-66430992.039999999</v>
          </cell>
        </row>
        <row r="145">
          <cell r="F145">
            <v>-1910562.07</v>
          </cell>
          <cell r="G145">
            <v>-9511842.75</v>
          </cell>
        </row>
        <row r="146">
          <cell r="F146">
            <v>-939001.49</v>
          </cell>
          <cell r="G146">
            <v>-4173690.13</v>
          </cell>
        </row>
        <row r="147">
          <cell r="F147">
            <v>-230891.31</v>
          </cell>
          <cell r="G147">
            <v>-965785.47</v>
          </cell>
        </row>
        <row r="148">
          <cell r="F148">
            <v>17219.22</v>
          </cell>
          <cell r="G148">
            <v>-163287.97</v>
          </cell>
        </row>
        <row r="149">
          <cell r="F149">
            <v>36361.980000000003</v>
          </cell>
          <cell r="G149">
            <v>-309873.93</v>
          </cell>
        </row>
        <row r="150">
          <cell r="F150">
            <v>6378.29</v>
          </cell>
          <cell r="G150">
            <v>-57923.65</v>
          </cell>
        </row>
        <row r="151">
          <cell r="F151">
            <v>1430.77</v>
          </cell>
          <cell r="G151">
            <v>-3454.18</v>
          </cell>
        </row>
        <row r="152">
          <cell r="F152">
            <v>-24269.98</v>
          </cell>
          <cell r="G152">
            <v>-42413.99</v>
          </cell>
        </row>
        <row r="153">
          <cell r="F153">
            <v>-51248.21</v>
          </cell>
          <cell r="G153">
            <v>-86050.75</v>
          </cell>
        </row>
        <row r="154">
          <cell r="F154">
            <v>-8989.84</v>
          </cell>
          <cell r="G154">
            <v>-15453.18</v>
          </cell>
        </row>
        <row r="155">
          <cell r="F155">
            <v>-2016.03</v>
          </cell>
          <cell r="G155">
            <v>-2507.23</v>
          </cell>
        </row>
        <row r="161">
          <cell r="F161">
            <v>128693061.95</v>
          </cell>
        </row>
        <row r="162">
          <cell r="F162">
            <v>345537833.29000002</v>
          </cell>
        </row>
        <row r="163">
          <cell r="F163">
            <v>64214223.829999998</v>
          </cell>
        </row>
        <row r="164">
          <cell r="F164">
            <v>1194770.56</v>
          </cell>
        </row>
        <row r="166">
          <cell r="F166">
            <v>5472139.5199999996</v>
          </cell>
        </row>
        <row r="167">
          <cell r="F167">
            <v>1316127</v>
          </cell>
        </row>
        <row r="168">
          <cell r="F168">
            <v>163824</v>
          </cell>
        </row>
        <row r="169">
          <cell r="F169">
            <v>404252</v>
          </cell>
        </row>
        <row r="170">
          <cell r="F170">
            <v>448958.64</v>
          </cell>
        </row>
        <row r="171">
          <cell r="F171">
            <v>-470618.6</v>
          </cell>
        </row>
        <row r="172">
          <cell r="F172">
            <v>-87400.59</v>
          </cell>
        </row>
        <row r="173">
          <cell r="F173">
            <v>-6642.11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F TB"/>
    </sheetNames>
    <sheetDataSet>
      <sheetData sheetId="0">
        <row r="185">
          <cell r="F185">
            <v>-75782.42</v>
          </cell>
        </row>
        <row r="186">
          <cell r="F186">
            <v>-147937.70000000001</v>
          </cell>
        </row>
        <row r="187">
          <cell r="F187">
            <v>-30557.51</v>
          </cell>
        </row>
        <row r="188">
          <cell r="F188">
            <v>-3137.45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-173225336.91999999</v>
          </cell>
        </row>
        <row r="198">
          <cell r="F198">
            <v>-338141373.88</v>
          </cell>
        </row>
        <row r="199">
          <cell r="F199">
            <v>-69817660.739999995</v>
          </cell>
        </row>
        <row r="200">
          <cell r="F200">
            <v>-7166306.0300000003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33">
          <cell r="F233">
            <v>1529625.07</v>
          </cell>
        </row>
        <row r="234">
          <cell r="F234">
            <v>1470060.23</v>
          </cell>
        </row>
        <row r="235">
          <cell r="F235">
            <v>157174.35</v>
          </cell>
        </row>
        <row r="236">
          <cell r="F236">
            <v>549172.79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TB (Working)"/>
      <sheetName val="April TB Final"/>
    </sheetNames>
    <sheetDataSet>
      <sheetData sheetId="0"/>
      <sheetData sheetId="1">
        <row r="196">
          <cell r="F196">
            <v>-820.68</v>
          </cell>
        </row>
        <row r="197">
          <cell r="F197">
            <v>-1770.04</v>
          </cell>
        </row>
        <row r="198">
          <cell r="F198">
            <v>-311.52999999999997</v>
          </cell>
        </row>
        <row r="199">
          <cell r="F199">
            <v>-92.54</v>
          </cell>
        </row>
        <row r="200">
          <cell r="F200">
            <v>-9720097.6099999994</v>
          </cell>
        </row>
        <row r="201">
          <cell r="F201">
            <v>-748187.44</v>
          </cell>
        </row>
        <row r="202">
          <cell r="F202">
            <v>-362014.28</v>
          </cell>
        </row>
        <row r="203">
          <cell r="F203">
            <v>-367252.62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ne TB"/>
    </sheetNames>
    <sheetDataSet>
      <sheetData sheetId="0"/>
      <sheetData sheetId="1">
        <row r="223">
          <cell r="F223">
            <v>-778</v>
          </cell>
        </row>
        <row r="236">
          <cell r="F236">
            <v>-179080180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 08"/>
      <sheetName val="Sheet2"/>
      <sheetName val="Sheet3"/>
    </sheetNames>
    <sheetDataSet>
      <sheetData sheetId="0">
        <row r="9">
          <cell r="D9">
            <v>187291157.36000001</v>
          </cell>
        </row>
        <row r="10">
          <cell r="D10">
            <v>416220173.16000003</v>
          </cell>
        </row>
        <row r="11">
          <cell r="D11">
            <v>73526895.079999998</v>
          </cell>
        </row>
        <row r="12">
          <cell r="D12">
            <v>28295413.489999998</v>
          </cell>
        </row>
        <row r="14">
          <cell r="D14">
            <v>705333639.09000003</v>
          </cell>
          <cell r="E14">
            <v>6990302383.2399998</v>
          </cell>
        </row>
        <row r="16">
          <cell r="D16">
            <v>40960.720000000001</v>
          </cell>
        </row>
        <row r="17">
          <cell r="D17">
            <v>86574.94</v>
          </cell>
        </row>
        <row r="18">
          <cell r="D18">
            <v>15273.84</v>
          </cell>
        </row>
        <row r="19">
          <cell r="D19">
            <v>3900.14</v>
          </cell>
        </row>
        <row r="20">
          <cell r="D20">
            <v>146709.64000000001</v>
          </cell>
          <cell r="E20">
            <v>4281170.8100000005</v>
          </cell>
        </row>
        <row r="22">
          <cell r="D22">
            <v>50947.06</v>
          </cell>
        </row>
        <row r="23">
          <cell r="D23">
            <v>107678.62</v>
          </cell>
        </row>
        <row r="24">
          <cell r="D24">
            <v>18995.66</v>
          </cell>
        </row>
        <row r="25">
          <cell r="D25">
            <v>4853.8500000000004</v>
          </cell>
        </row>
        <row r="26">
          <cell r="D26">
            <v>182475.19</v>
          </cell>
          <cell r="E26">
            <v>1115392.04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1633.53</v>
          </cell>
        </row>
        <row r="34">
          <cell r="D34">
            <v>2092313.99</v>
          </cell>
        </row>
        <row r="35">
          <cell r="D35">
            <v>393683.04</v>
          </cell>
        </row>
        <row r="36">
          <cell r="D36">
            <v>84776.73</v>
          </cell>
        </row>
        <row r="37">
          <cell r="D37">
            <v>21689.78</v>
          </cell>
        </row>
        <row r="38">
          <cell r="D38">
            <v>2592463.5399999996</v>
          </cell>
          <cell r="E38">
            <v>9548731.120000001</v>
          </cell>
        </row>
        <row r="40">
          <cell r="D40">
            <v>-154569759.93000001</v>
          </cell>
        </row>
        <row r="41">
          <cell r="D41">
            <v>-364359205.62</v>
          </cell>
        </row>
        <row r="42">
          <cell r="D42">
            <v>-69196601.680000007</v>
          </cell>
        </row>
        <row r="43">
          <cell r="D43">
            <v>-4563213.37</v>
          </cell>
        </row>
        <row r="44">
          <cell r="D44">
            <v>-592688780.60000002</v>
          </cell>
          <cell r="E44">
            <v>-6360692719.3299999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-14320000</v>
          </cell>
        </row>
        <row r="56">
          <cell r="D56">
            <v>-4006854.19</v>
          </cell>
        </row>
        <row r="57">
          <cell r="D57">
            <v>-10684349.17</v>
          </cell>
        </row>
        <row r="58">
          <cell r="D58">
            <v>100592.99</v>
          </cell>
        </row>
        <row r="59">
          <cell r="D59">
            <v>-469127.67999999999</v>
          </cell>
        </row>
        <row r="60">
          <cell r="D60">
            <v>-15059738.049999999</v>
          </cell>
          <cell r="E60">
            <v>-153654816.52999997</v>
          </cell>
        </row>
        <row r="62">
          <cell r="D62">
            <v>7680304.0199999996</v>
          </cell>
        </row>
        <row r="63">
          <cell r="D63">
            <v>700828.68</v>
          </cell>
        </row>
        <row r="64">
          <cell r="D64">
            <v>274437.03999999998</v>
          </cell>
        </row>
        <row r="65">
          <cell r="D65">
            <v>377316.11</v>
          </cell>
        </row>
        <row r="66">
          <cell r="D66">
            <v>9032885.8499999978</v>
          </cell>
          <cell r="E66">
            <v>148970218.22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08"/>
      <sheetName val="Sheet2"/>
      <sheetName val="Sheet3"/>
    </sheetNames>
    <sheetDataSet>
      <sheetData sheetId="0">
        <row r="9">
          <cell r="D9">
            <v>192711774.99000001</v>
          </cell>
        </row>
        <row r="10">
          <cell r="D10">
            <v>417470800.95999998</v>
          </cell>
        </row>
        <row r="11">
          <cell r="D11">
            <v>73753412.939999998</v>
          </cell>
        </row>
        <row r="12">
          <cell r="D12">
            <v>23523264.68</v>
          </cell>
        </row>
        <row r="14">
          <cell r="D14">
            <v>707459253.57000005</v>
          </cell>
          <cell r="E14">
            <v>7697761636.8099995</v>
          </cell>
        </row>
        <row r="16">
          <cell r="D16">
            <v>119505.51</v>
          </cell>
        </row>
        <row r="17">
          <cell r="D17">
            <v>252582.55</v>
          </cell>
        </row>
        <row r="18">
          <cell r="D18">
            <v>44562.68</v>
          </cell>
        </row>
        <row r="19">
          <cell r="D19">
            <v>11364.87</v>
          </cell>
        </row>
        <row r="20">
          <cell r="D20">
            <v>428015.61</v>
          </cell>
          <cell r="E20">
            <v>4709186.42</v>
          </cell>
        </row>
        <row r="22">
          <cell r="D22">
            <v>38092.79</v>
          </cell>
        </row>
        <row r="23">
          <cell r="D23">
            <v>80510.539999999994</v>
          </cell>
        </row>
        <row r="24">
          <cell r="D24">
            <v>14202.92</v>
          </cell>
        </row>
        <row r="25">
          <cell r="D25">
            <v>3629.18</v>
          </cell>
        </row>
        <row r="26">
          <cell r="D26">
            <v>136435.43</v>
          </cell>
          <cell r="E26">
            <v>1251827.4700000002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1633.53</v>
          </cell>
        </row>
        <row r="34">
          <cell r="D34">
            <v>-403006.82</v>
          </cell>
        </row>
        <row r="35">
          <cell r="D35">
            <v>3717743.79</v>
          </cell>
        </row>
        <row r="36">
          <cell r="D36">
            <v>652867.36</v>
          </cell>
        </row>
        <row r="37">
          <cell r="D37">
            <v>192104.79</v>
          </cell>
        </row>
        <row r="38">
          <cell r="D38">
            <v>4159709.12</v>
          </cell>
          <cell r="E38">
            <v>13708440.24</v>
          </cell>
        </row>
        <row r="40">
          <cell r="D40">
            <v>-158382022.22</v>
          </cell>
        </row>
        <row r="41">
          <cell r="D41">
            <v>-394045307.73000002</v>
          </cell>
        </row>
        <row r="42">
          <cell r="D42">
            <v>-67200584.319999993</v>
          </cell>
        </row>
        <row r="43">
          <cell r="D43">
            <v>-6768631.4299999997</v>
          </cell>
        </row>
        <row r="44">
          <cell r="D44">
            <v>-626396545.69999993</v>
          </cell>
          <cell r="E44">
            <v>-6987089265.0300007</v>
          </cell>
        </row>
        <row r="50">
          <cell r="D50">
            <v>-2065907</v>
          </cell>
        </row>
        <row r="51">
          <cell r="D51">
            <v>-4204193</v>
          </cell>
        </row>
        <row r="52">
          <cell r="D52">
            <v>-764578</v>
          </cell>
        </row>
        <row r="53">
          <cell r="D53">
            <v>-125322</v>
          </cell>
        </row>
        <row r="54">
          <cell r="D54">
            <v>-7160000</v>
          </cell>
          <cell r="E54">
            <v>-21480000</v>
          </cell>
        </row>
        <row r="56">
          <cell r="D56">
            <v>-5913698.2800000003</v>
          </cell>
        </row>
        <row r="57">
          <cell r="D57">
            <v>-2081880.07</v>
          </cell>
        </row>
        <row r="58">
          <cell r="D58">
            <v>-386390.63</v>
          </cell>
        </row>
        <row r="59">
          <cell r="D59">
            <v>-713938.77</v>
          </cell>
        </row>
        <row r="60">
          <cell r="D60">
            <v>-9095907.75</v>
          </cell>
          <cell r="E60">
            <v>-162750724.28</v>
          </cell>
        </row>
        <row r="62">
          <cell r="D62">
            <v>7638841.7699999996</v>
          </cell>
        </row>
        <row r="63">
          <cell r="D63">
            <v>728409.73</v>
          </cell>
        </row>
        <row r="64">
          <cell r="D64">
            <v>277157.96000000002</v>
          </cell>
        </row>
        <row r="65">
          <cell r="D65">
            <v>390100.71</v>
          </cell>
        </row>
        <row r="66">
          <cell r="D66">
            <v>9034510.1700000018</v>
          </cell>
          <cell r="E66">
            <v>158004728.38999999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187625983.21000001</v>
          </cell>
        </row>
        <row r="10">
          <cell r="D10">
            <v>370314906.25</v>
          </cell>
        </row>
        <row r="11">
          <cell r="D11">
            <v>66257802.170000002</v>
          </cell>
        </row>
        <row r="12">
          <cell r="D12">
            <v>12524276.369999999</v>
          </cell>
        </row>
        <row r="14">
          <cell r="D14">
            <v>636722968</v>
          </cell>
          <cell r="E14">
            <v>636722968</v>
          </cell>
        </row>
        <row r="16">
          <cell r="D16">
            <v>112081.02</v>
          </cell>
        </row>
        <row r="17">
          <cell r="D17">
            <v>227705.11</v>
          </cell>
        </row>
        <row r="18">
          <cell r="D18">
            <v>40676.61</v>
          </cell>
        </row>
        <row r="19">
          <cell r="D19">
            <v>10626.01</v>
          </cell>
        </row>
        <row r="20">
          <cell r="D20">
            <v>391088.75</v>
          </cell>
          <cell r="E20">
            <v>391088.75</v>
          </cell>
        </row>
        <row r="22">
          <cell r="D22">
            <v>84078.13</v>
          </cell>
        </row>
        <row r="23">
          <cell r="D23">
            <v>170530.17</v>
          </cell>
        </row>
        <row r="24">
          <cell r="D24">
            <v>30478</v>
          </cell>
        </row>
        <row r="25">
          <cell r="D25">
            <v>7971.17</v>
          </cell>
        </row>
        <row r="26">
          <cell r="D26">
            <v>293057.47000000003</v>
          </cell>
          <cell r="E26">
            <v>293057.47000000003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-3605648.95</v>
          </cell>
        </row>
        <row r="35">
          <cell r="D35">
            <v>88085.43</v>
          </cell>
        </row>
        <row r="36">
          <cell r="D36">
            <v>15429.4</v>
          </cell>
        </row>
        <row r="37">
          <cell r="D37">
            <v>3928.02</v>
          </cell>
        </row>
        <row r="38">
          <cell r="D38">
            <v>-3498206.1</v>
          </cell>
          <cell r="E38">
            <v>-3498206.1</v>
          </cell>
        </row>
        <row r="40">
          <cell r="D40">
            <v>-279513575.27999997</v>
          </cell>
        </row>
        <row r="41">
          <cell r="D41">
            <v>-375396414.63999999</v>
          </cell>
        </row>
        <row r="42">
          <cell r="D42">
            <v>-68776553</v>
          </cell>
        </row>
        <row r="43">
          <cell r="D43">
            <v>-2522479.5299999998</v>
          </cell>
        </row>
        <row r="44">
          <cell r="D44">
            <v>-726209022.44999993</v>
          </cell>
          <cell r="E44">
            <v>-726209022.44999993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-5284169.95</v>
          </cell>
        </row>
        <row r="57">
          <cell r="D57">
            <v>5330730</v>
          </cell>
        </row>
        <row r="58">
          <cell r="D58">
            <v>-376642.01</v>
          </cell>
        </row>
        <row r="59">
          <cell r="D59">
            <v>-650590.01</v>
          </cell>
        </row>
        <row r="60">
          <cell r="D60">
            <v>-980671.9700000002</v>
          </cell>
          <cell r="E60">
            <v>-980671.9700000002</v>
          </cell>
        </row>
        <row r="62">
          <cell r="D62">
            <v>7667148.8499999996</v>
          </cell>
        </row>
        <row r="63">
          <cell r="D63">
            <v>767174.57</v>
          </cell>
        </row>
        <row r="64">
          <cell r="D64">
            <v>282330.51</v>
          </cell>
        </row>
        <row r="65">
          <cell r="D65">
            <v>408466.66</v>
          </cell>
        </row>
        <row r="66">
          <cell r="D66">
            <v>9125120.5899999999</v>
          </cell>
          <cell r="E66">
            <v>9125120.5899999999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189227602.33000001</v>
          </cell>
        </row>
        <row r="10">
          <cell r="D10">
            <v>373925570.91000003</v>
          </cell>
        </row>
        <row r="11">
          <cell r="D11">
            <v>66849729.920000002</v>
          </cell>
        </row>
        <row r="12">
          <cell r="D12">
            <v>12629497.560000001</v>
          </cell>
        </row>
        <row r="14">
          <cell r="D14">
            <v>642632400.71999991</v>
          </cell>
          <cell r="E14">
            <v>1279355368.72</v>
          </cell>
        </row>
        <row r="16">
          <cell r="D16">
            <v>141099.89000000001</v>
          </cell>
        </row>
        <row r="17">
          <cell r="D17">
            <v>286193.11</v>
          </cell>
        </row>
        <row r="18">
          <cell r="D18">
            <v>51154.86</v>
          </cell>
        </row>
        <row r="19">
          <cell r="D19">
            <v>13363.25</v>
          </cell>
        </row>
        <row r="20">
          <cell r="D20">
            <v>491811.11</v>
          </cell>
          <cell r="E20">
            <v>882899.86</v>
          </cell>
        </row>
        <row r="22">
          <cell r="D22">
            <v>42018.14</v>
          </cell>
        </row>
        <row r="23">
          <cell r="D23">
            <v>85222.59</v>
          </cell>
        </row>
        <row r="24">
          <cell r="D24">
            <v>15231.39</v>
          </cell>
        </row>
        <row r="25">
          <cell r="D25">
            <v>3983.56</v>
          </cell>
        </row>
        <row r="26">
          <cell r="D26">
            <v>146455.67999999999</v>
          </cell>
          <cell r="E26">
            <v>439513.15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0</v>
          </cell>
        </row>
        <row r="34">
          <cell r="D34">
            <v>-357765.34</v>
          </cell>
        </row>
        <row r="35">
          <cell r="D35">
            <v>1048685.97</v>
          </cell>
        </row>
        <row r="36">
          <cell r="D36">
            <v>187316.49</v>
          </cell>
        </row>
        <row r="37">
          <cell r="D37">
            <v>48542.87</v>
          </cell>
        </row>
        <row r="38">
          <cell r="D38">
            <v>926779.98999999987</v>
          </cell>
          <cell r="E38">
            <v>-2571426.11</v>
          </cell>
        </row>
        <row r="40">
          <cell r="D40">
            <v>-142400196.27000001</v>
          </cell>
        </row>
        <row r="41">
          <cell r="D41">
            <v>-377541665.13</v>
          </cell>
        </row>
        <row r="42">
          <cell r="D42">
            <v>-66600565.369999997</v>
          </cell>
        </row>
        <row r="43">
          <cell r="D43">
            <v>-793499.15</v>
          </cell>
        </row>
        <row r="44">
          <cell r="D44">
            <v>-587335925.91999996</v>
          </cell>
          <cell r="E44">
            <v>-1313544948.3700001</v>
          </cell>
        </row>
        <row r="54">
          <cell r="D54">
            <v>0</v>
          </cell>
          <cell r="E54">
            <v>0</v>
          </cell>
        </row>
        <row r="56">
          <cell r="D56">
            <v>-5520305.5300000003</v>
          </cell>
        </row>
        <row r="57">
          <cell r="D57">
            <v>-7353770.0499999998</v>
          </cell>
        </row>
        <row r="58">
          <cell r="D58">
            <v>-380039.22</v>
          </cell>
        </row>
        <row r="59">
          <cell r="D59">
            <v>-711271.08</v>
          </cell>
        </row>
        <row r="60">
          <cell r="D60">
            <v>-13965385.880000001</v>
          </cell>
          <cell r="E60">
            <v>-14946057.850000001</v>
          </cell>
        </row>
        <row r="62">
          <cell r="D62">
            <v>6564411.1100000003</v>
          </cell>
        </row>
        <row r="63">
          <cell r="D63">
            <v>678564.39</v>
          </cell>
        </row>
        <row r="64">
          <cell r="D64">
            <v>242884.26</v>
          </cell>
        </row>
        <row r="65">
          <cell r="D65">
            <v>373082.62</v>
          </cell>
        </row>
        <row r="66">
          <cell r="D66">
            <v>7858942.3799999999</v>
          </cell>
          <cell r="E66">
            <v>16984062.970000003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 accrual template"/>
      <sheetName val="monthly accrual 2"/>
      <sheetName val="monthly accrual"/>
      <sheetName val="June 06 AR Schedule"/>
      <sheetName val="June 2006 Trial Balance"/>
      <sheetName val="May 06 AR Schedule"/>
      <sheetName val="April 06 AR Schedule (update)"/>
      <sheetName val="March 06 AR Schedule"/>
      <sheetName val="February 06 AR Schedule"/>
      <sheetName val="January 06 AR Schedule"/>
      <sheetName val="May 2006 Trial Balance"/>
      <sheetName val="March TB"/>
      <sheetName val="Apr 06 TB (5-15)"/>
      <sheetName val="2006 cash template"/>
      <sheetName val="Chart1"/>
      <sheetName val="monthly cash"/>
      <sheetName val="December Bank to 224"/>
      <sheetName val="November Bank to 224"/>
      <sheetName val=" October Bank to 224"/>
      <sheetName val="monthly cash (224) working copy"/>
      <sheetName val="Rec to Budgetary-Dec"/>
      <sheetName val="Dec 06 TB (1-15-07)"/>
      <sheetName val="Rec to Budgetary-Nov"/>
      <sheetName val="AR Schd Dec 06"/>
      <sheetName val="TB-Nov"/>
      <sheetName val="Rec to Budgetary-Oct"/>
      <sheetName val="TB-Oct"/>
      <sheetName val="Cash &amp; Inv Rollforward "/>
      <sheetName val="Sep Cash &amp; Inv Rollforward "/>
      <sheetName val="Aug Cash &amp; Inv Rollforward "/>
      <sheetName val="Jul Cash &amp; Inv Rollforward "/>
      <sheetName val="June Cash &amp; Inv Rollforward"/>
      <sheetName val="May Cash &amp; Inv Rollforward "/>
      <sheetName val="Apr Cash &amp; Inv Roll"/>
      <sheetName val="Mar Cash"/>
      <sheetName val="Jan Cash"/>
      <sheetName val="Jan 06 TB"/>
      <sheetName val="Feb cash "/>
      <sheetName val="Feb 06 TB"/>
      <sheetName val="Novemeber Bank to 224"/>
      <sheetName val="Reconcil to Budgetary"/>
      <sheetName val="Summary Trial Balance -- Final "/>
    </sheetNames>
    <sheetDataSet>
      <sheetData sheetId="0" refreshError="1">
        <row r="62">
          <cell r="F62">
            <v>595929.99</v>
          </cell>
        </row>
        <row r="63">
          <cell r="F63">
            <v>59901.090000000004</v>
          </cell>
        </row>
        <row r="64">
          <cell r="F64">
            <v>0</v>
          </cell>
        </row>
        <row r="65">
          <cell r="F65">
            <v>-7115427.9500000002</v>
          </cell>
        </row>
        <row r="66">
          <cell r="F66">
            <v>-1741004448</v>
          </cell>
        </row>
        <row r="67">
          <cell r="F67">
            <v>-22015595.48</v>
          </cell>
        </row>
        <row r="68">
          <cell r="F68">
            <v>60820402.579999998</v>
          </cell>
        </row>
        <row r="88">
          <cell r="B88">
            <v>336168140.75964916</v>
          </cell>
          <cell r="C88">
            <v>135724057.14787039</v>
          </cell>
          <cell r="D88">
            <v>4165354777.6206446</v>
          </cell>
          <cell r="E88">
            <v>40061458.815837801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 Adj"/>
      <sheetName val="Dec Corr JE"/>
      <sheetName val="FRx Report"/>
      <sheetName val="M04 2006"/>
      <sheetName val="M04 2007"/>
    </sheetNames>
    <sheetDataSet>
      <sheetData sheetId="0">
        <row r="7">
          <cell r="K7">
            <v>-1667225.8354932703</v>
          </cell>
        </row>
        <row r="8">
          <cell r="K8">
            <v>-2259943.9525640029</v>
          </cell>
        </row>
        <row r="9">
          <cell r="K9">
            <v>-489357.57030159491</v>
          </cell>
        </row>
        <row r="10">
          <cell r="K10">
            <v>-13765.508546442194</v>
          </cell>
        </row>
        <row r="15">
          <cell r="K15">
            <v>-4569236.5499999989</v>
          </cell>
        </row>
        <row r="16">
          <cell r="K16">
            <v>202408</v>
          </cell>
        </row>
        <row r="17">
          <cell r="K17">
            <v>-895353</v>
          </cell>
        </row>
        <row r="18">
          <cell r="K18">
            <v>57046</v>
          </cell>
        </row>
        <row r="23">
          <cell r="K23">
            <v>-653201.46078000008</v>
          </cell>
        </row>
        <row r="24">
          <cell r="K24">
            <v>-1379291.3555080004</v>
          </cell>
        </row>
        <row r="25">
          <cell r="K25">
            <v>-241952.34144400014</v>
          </cell>
        </row>
        <row r="26">
          <cell r="K26">
            <v>-54258.802268000007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6">
          <cell r="F176">
            <v>-273.76</v>
          </cell>
          <cell r="G176">
            <v>-2363.79</v>
          </cell>
        </row>
        <row r="177">
          <cell r="F177">
            <v>-596.92999999999995</v>
          </cell>
          <cell r="G177">
            <v>-2011</v>
          </cell>
        </row>
        <row r="178">
          <cell r="F178">
            <v>-120.13</v>
          </cell>
          <cell r="G178">
            <v>-1068.74</v>
          </cell>
        </row>
        <row r="179">
          <cell r="F179">
            <v>-15.29</v>
          </cell>
          <cell r="G179">
            <v>-83.9</v>
          </cell>
        </row>
        <row r="180">
          <cell r="F180">
            <v>-14850318.630000001</v>
          </cell>
          <cell r="G180">
            <v>-45835882.119999997</v>
          </cell>
        </row>
        <row r="181">
          <cell r="F181">
            <v>-1723388.44</v>
          </cell>
          <cell r="G181">
            <v>-5791094.2699999996</v>
          </cell>
        </row>
        <row r="182">
          <cell r="F182">
            <v>-599222.38</v>
          </cell>
          <cell r="G182">
            <v>-1923780.61</v>
          </cell>
        </row>
        <row r="183">
          <cell r="F183">
            <v>-604689.22</v>
          </cell>
          <cell r="G183">
            <v>-1897856.47</v>
          </cell>
        </row>
        <row r="184">
          <cell r="F184">
            <v>-64636.61</v>
          </cell>
          <cell r="G184">
            <v>-235292.04</v>
          </cell>
        </row>
        <row r="185">
          <cell r="F185">
            <v>-140960.54</v>
          </cell>
          <cell r="G185">
            <v>-533884.99</v>
          </cell>
        </row>
        <row r="186">
          <cell r="F186">
            <v>-28362.99</v>
          </cell>
          <cell r="G186">
            <v>-98696.29</v>
          </cell>
        </row>
        <row r="187">
          <cell r="F187">
            <v>-3587.42</v>
          </cell>
          <cell r="G187">
            <v>-15005.59</v>
          </cell>
        </row>
        <row r="188">
          <cell r="F188">
            <v>1072.55</v>
          </cell>
          <cell r="G188">
            <v>-20374.04</v>
          </cell>
        </row>
        <row r="189">
          <cell r="F189">
            <v>2338.9499999999998</v>
          </cell>
          <cell r="G189">
            <v>-53580</v>
          </cell>
        </row>
        <row r="190">
          <cell r="F190">
            <v>470.61</v>
          </cell>
          <cell r="G190">
            <v>-6934.62</v>
          </cell>
        </row>
        <row r="191">
          <cell r="F191">
            <v>59.51</v>
          </cell>
          <cell r="G191">
            <v>-1988.77</v>
          </cell>
        </row>
        <row r="192">
          <cell r="F192">
            <v>0</v>
          </cell>
          <cell r="G192">
            <v>0</v>
          </cell>
        </row>
        <row r="193">
          <cell r="F193">
            <v>0</v>
          </cell>
          <cell r="G193">
            <v>0</v>
          </cell>
        </row>
        <row r="194">
          <cell r="F194">
            <v>0</v>
          </cell>
          <cell r="G194">
            <v>0</v>
          </cell>
        </row>
        <row r="195">
          <cell r="F195">
            <v>0</v>
          </cell>
          <cell r="G195">
            <v>0</v>
          </cell>
        </row>
        <row r="196">
          <cell r="F196">
            <v>-170348384.93000001</v>
          </cell>
          <cell r="G196">
            <v>-510835336.81999999</v>
          </cell>
        </row>
        <row r="197">
          <cell r="F197">
            <v>-371168046.58999997</v>
          </cell>
          <cell r="G197">
            <v>-1112744674.48</v>
          </cell>
        </row>
        <row r="198">
          <cell r="F198">
            <v>-74795606.5</v>
          </cell>
          <cell r="G198">
            <v>-224330425.44999999</v>
          </cell>
        </row>
        <row r="199">
          <cell r="F199">
            <v>-9429339.6199999992</v>
          </cell>
          <cell r="G199">
            <v>-28265306.620000001</v>
          </cell>
        </row>
        <row r="219">
          <cell r="F219">
            <v>117865051.2</v>
          </cell>
        </row>
        <row r="220">
          <cell r="F220">
            <v>373014611</v>
          </cell>
        </row>
        <row r="221">
          <cell r="F221">
            <v>66527459</v>
          </cell>
        </row>
        <row r="222">
          <cell r="F222">
            <v>6372865.3399999999</v>
          </cell>
        </row>
        <row r="224">
          <cell r="F224">
            <v>8996886.7599999998</v>
          </cell>
          <cell r="G224">
            <v>18379928.780000001</v>
          </cell>
        </row>
        <row r="225">
          <cell r="F225">
            <v>-1255599.76</v>
          </cell>
          <cell r="G225">
            <v>2658132.5299999998</v>
          </cell>
        </row>
        <row r="226">
          <cell r="F226">
            <v>-418120.15</v>
          </cell>
          <cell r="G226">
            <v>771203.26</v>
          </cell>
        </row>
        <row r="227">
          <cell r="F227">
            <v>1039148.08</v>
          </cell>
          <cell r="G227">
            <v>1728077.49</v>
          </cell>
        </row>
        <row r="228">
          <cell r="F228">
            <v>187887.21</v>
          </cell>
        </row>
        <row r="229">
          <cell r="F229">
            <v>11107.14</v>
          </cell>
        </row>
        <row r="230">
          <cell r="F230">
            <v>509569.17</v>
          </cell>
        </row>
        <row r="231">
          <cell r="F231">
            <v>-1501.29</v>
          </cell>
        </row>
        <row r="232">
          <cell r="F232">
            <v>2004969.1</v>
          </cell>
          <cell r="G232">
            <v>4532238.97</v>
          </cell>
        </row>
        <row r="233">
          <cell r="F233">
            <v>-4942343.13</v>
          </cell>
          <cell r="G233">
            <v>-4535754.41</v>
          </cell>
        </row>
        <row r="234">
          <cell r="F234">
            <v>4399598.78</v>
          </cell>
          <cell r="G234">
            <v>5419507.7599999998</v>
          </cell>
        </row>
        <row r="235">
          <cell r="F235">
            <v>-1363981.75</v>
          </cell>
          <cell r="G235">
            <v>-1136995.29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Accrual Quarterly"/>
      <sheetName val="2009 Accrual Monthly"/>
      <sheetName val="TB Mar 09"/>
      <sheetName val="TB Feb TB final"/>
      <sheetName val="TB Feb 09"/>
      <sheetName val="TB Jan 09"/>
      <sheetName val="TB Dec 08 Revised"/>
      <sheetName val="TB Dec 08"/>
      <sheetName val="2008 Accrual Monthly"/>
      <sheetName val="2007 Accrual Monthly"/>
      <sheetName val="TB May 09"/>
      <sheetName val="TB April 04"/>
      <sheetName val="TB Dec 09"/>
      <sheetName val="TB Nov 09"/>
      <sheetName val="TB Oct 09"/>
      <sheetName val="TB Sept 09"/>
      <sheetName val="TB August 09"/>
      <sheetName val="TB July 09"/>
      <sheetName val="TB June 7-14-2009"/>
      <sheetName val="TB June 7-13-09"/>
      <sheetName val="TB June 09"/>
    </sheetNames>
    <sheetDataSet>
      <sheetData sheetId="0" refreshError="1"/>
      <sheetData sheetId="1"/>
      <sheetData sheetId="2" refreshError="1">
        <row r="9">
          <cell r="D9">
            <v>165181188.47999999</v>
          </cell>
        </row>
        <row r="10">
          <cell r="D10">
            <v>299072490</v>
          </cell>
        </row>
        <row r="11">
          <cell r="D11">
            <v>62016993.460000001</v>
          </cell>
        </row>
        <row r="12">
          <cell r="D12">
            <v>10627564.949999999</v>
          </cell>
        </row>
        <row r="14">
          <cell r="D14">
            <v>536898236.88999999</v>
          </cell>
          <cell r="E14">
            <v>3538038798.9299998</v>
          </cell>
        </row>
        <row r="16">
          <cell r="D16">
            <v>-2451.65</v>
          </cell>
        </row>
        <row r="17">
          <cell r="D17">
            <v>-4336.71</v>
          </cell>
        </row>
        <row r="18">
          <cell r="D18">
            <v>-909.24</v>
          </cell>
        </row>
        <row r="19">
          <cell r="D19">
            <v>-136.86000000000001</v>
          </cell>
        </row>
        <row r="20">
          <cell r="D20">
            <v>-7834.46</v>
          </cell>
          <cell r="E20">
            <v>2163886.9699999997</v>
          </cell>
        </row>
        <row r="22">
          <cell r="D22">
            <v>34830.269999999997</v>
          </cell>
        </row>
        <row r="23">
          <cell r="D23">
            <v>63081.73</v>
          </cell>
        </row>
        <row r="24">
          <cell r="D24">
            <v>13078.31</v>
          </cell>
        </row>
        <row r="25">
          <cell r="D25">
            <v>2242.0100000000002</v>
          </cell>
        </row>
        <row r="26">
          <cell r="D26">
            <v>113232.31999999999</v>
          </cell>
          <cell r="E26">
            <v>1084824.8424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E32">
            <v>0</v>
          </cell>
        </row>
        <row r="34">
          <cell r="D34">
            <v>-326086.14</v>
          </cell>
        </row>
        <row r="35">
          <cell r="D35">
            <v>-569742.37</v>
          </cell>
        </row>
        <row r="36">
          <cell r="D36">
            <v>-117944.08</v>
          </cell>
        </row>
        <row r="37">
          <cell r="D37">
            <v>-20166.22</v>
          </cell>
        </row>
        <row r="38">
          <cell r="D38">
            <v>-1033938.8099999999</v>
          </cell>
          <cell r="E38">
            <v>-1027905.3300000001</v>
          </cell>
        </row>
        <row r="40">
          <cell r="D40">
            <v>-129818815.11</v>
          </cell>
        </row>
        <row r="41">
          <cell r="D41">
            <v>-345891064.44999999</v>
          </cell>
        </row>
        <row r="42">
          <cell r="D42">
            <v>-73265569.950000003</v>
          </cell>
        </row>
        <row r="43">
          <cell r="D43">
            <v>-3280650.41</v>
          </cell>
        </row>
        <row r="44">
          <cell r="D44">
            <v>-552256099.91999996</v>
          </cell>
          <cell r="E44">
            <v>-3665815267.7099996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-8793968</v>
          </cell>
        </row>
        <row r="57">
          <cell r="D57">
            <v>-6512783.9900000002</v>
          </cell>
        </row>
        <row r="58">
          <cell r="D58">
            <v>289446.2</v>
          </cell>
        </row>
        <row r="59">
          <cell r="D59">
            <v>-825772.3</v>
          </cell>
        </row>
        <row r="60">
          <cell r="D60">
            <v>-15843078.090000002</v>
          </cell>
          <cell r="E60">
            <v>-71200217.460000008</v>
          </cell>
        </row>
        <row r="62">
          <cell r="D62">
            <v>3175879.83</v>
          </cell>
        </row>
        <row r="63">
          <cell r="D63">
            <v>240351.64</v>
          </cell>
        </row>
        <row r="64">
          <cell r="D64">
            <v>104843.25</v>
          </cell>
        </row>
        <row r="65">
          <cell r="D65">
            <v>200864.19</v>
          </cell>
        </row>
        <row r="66">
          <cell r="D66">
            <v>3721938.91</v>
          </cell>
          <cell r="E66">
            <v>37426199.280000001</v>
          </cell>
        </row>
      </sheetData>
      <sheetData sheetId="3" refreshError="1">
        <row r="40">
          <cell r="D40">
            <v>-119824274.04000001</v>
          </cell>
        </row>
        <row r="41">
          <cell r="D41">
            <v>-342459028.14999998</v>
          </cell>
        </row>
        <row r="42">
          <cell r="D42">
            <v>-72043813.239999995</v>
          </cell>
        </row>
        <row r="43">
          <cell r="D43">
            <v>-2452248.5299999998</v>
          </cell>
        </row>
        <row r="44">
          <cell r="D44">
            <v>-536779363.95999998</v>
          </cell>
          <cell r="E44">
            <v>-3113559167.79</v>
          </cell>
        </row>
        <row r="56">
          <cell r="D56">
            <v>-13642098.74</v>
          </cell>
        </row>
        <row r="57">
          <cell r="D57">
            <v>-9245287.1799999997</v>
          </cell>
        </row>
        <row r="58">
          <cell r="D58">
            <v>153896.54999999999</v>
          </cell>
        </row>
        <row r="59">
          <cell r="D59">
            <v>-687325.19</v>
          </cell>
        </row>
      </sheetData>
      <sheetData sheetId="4" refreshError="1">
        <row r="9">
          <cell r="D9">
            <v>166274031.22999999</v>
          </cell>
        </row>
        <row r="10">
          <cell r="D10">
            <v>301353840.63999999</v>
          </cell>
        </row>
        <row r="11">
          <cell r="D11">
            <v>62441739.280000001</v>
          </cell>
        </row>
        <row r="12">
          <cell r="D12">
            <v>10743844.48</v>
          </cell>
        </row>
        <row r="14">
          <cell r="D14">
            <v>540813455.63</v>
          </cell>
          <cell r="E14">
            <v>3001140562.04</v>
          </cell>
        </row>
        <row r="16">
          <cell r="D16">
            <v>108290.93</v>
          </cell>
        </row>
        <row r="17">
          <cell r="D17">
            <v>196122.08</v>
          </cell>
        </row>
        <row r="18">
          <cell r="D18">
            <v>40682.99</v>
          </cell>
        </row>
        <row r="19">
          <cell r="D19">
            <v>6946.88</v>
          </cell>
        </row>
        <row r="20">
          <cell r="D20">
            <v>352042.88</v>
          </cell>
          <cell r="E20">
            <v>2171721.4299999997</v>
          </cell>
        </row>
        <row r="22">
          <cell r="D22">
            <v>43497.08</v>
          </cell>
        </row>
        <row r="23">
          <cell r="D23">
            <v>78778.42</v>
          </cell>
        </row>
        <row r="24">
          <cell r="D24">
            <v>16332.59</v>
          </cell>
        </row>
        <row r="25">
          <cell r="D25">
            <v>2799.92</v>
          </cell>
        </row>
        <row r="26">
          <cell r="D26">
            <v>141408.01</v>
          </cell>
          <cell r="E26">
            <v>971592.52240000002</v>
          </cell>
        </row>
        <row r="28">
          <cell r="D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4">
          <cell r="D34">
            <v>-1620382.88</v>
          </cell>
        </row>
        <row r="35">
          <cell r="D35">
            <v>-317117.15999999997</v>
          </cell>
        </row>
        <row r="36">
          <cell r="D36">
            <v>-65637.11</v>
          </cell>
        </row>
        <row r="37">
          <cell r="D37">
            <v>-11203.35</v>
          </cell>
        </row>
        <row r="38">
          <cell r="D38">
            <v>-2014340.5</v>
          </cell>
          <cell r="E38">
            <v>6033.4799999998941</v>
          </cell>
        </row>
        <row r="60">
          <cell r="D60">
            <v>-23420814.560000002</v>
          </cell>
          <cell r="E60">
            <v>-55357139.370000005</v>
          </cell>
        </row>
        <row r="62">
          <cell r="D62">
            <v>3472336.98</v>
          </cell>
        </row>
        <row r="63">
          <cell r="D63">
            <v>264868.34000000003</v>
          </cell>
        </row>
        <row r="64">
          <cell r="D64">
            <v>116614.1</v>
          </cell>
        </row>
        <row r="65">
          <cell r="D65">
            <v>217267.19</v>
          </cell>
        </row>
        <row r="66">
          <cell r="D66">
            <v>4071086.61</v>
          </cell>
          <cell r="E66">
            <v>33704260.369999997</v>
          </cell>
        </row>
      </sheetData>
      <sheetData sheetId="5" refreshError="1">
        <row r="9">
          <cell r="D9">
            <v>167315821.25</v>
          </cell>
        </row>
        <row r="10">
          <cell r="D10">
            <v>303173864.76999998</v>
          </cell>
        </row>
        <row r="11">
          <cell r="D11">
            <v>62855169.490000002</v>
          </cell>
        </row>
        <row r="12">
          <cell r="D12">
            <v>10701842.99</v>
          </cell>
        </row>
        <row r="14">
          <cell r="D14">
            <v>544046698.5</v>
          </cell>
          <cell r="E14">
            <v>2460327106.4099998</v>
          </cell>
        </row>
        <row r="16">
          <cell r="D16">
            <v>121813.73</v>
          </cell>
        </row>
        <row r="17">
          <cell r="D17">
            <v>221344.8</v>
          </cell>
        </row>
        <row r="18">
          <cell r="D18">
            <v>45694.98</v>
          </cell>
        </row>
        <row r="19">
          <cell r="D19">
            <v>7968.83</v>
          </cell>
        </row>
        <row r="20">
          <cell r="D20">
            <v>396822.33999999997</v>
          </cell>
          <cell r="E20">
            <v>1819678.55</v>
          </cell>
        </row>
        <row r="22">
          <cell r="D22">
            <v>66747.02</v>
          </cell>
        </row>
        <row r="23">
          <cell r="D23">
            <v>120886.79</v>
          </cell>
        </row>
        <row r="24">
          <cell r="D24">
            <v>25062.639999999999</v>
          </cell>
        </row>
        <row r="25">
          <cell r="D25">
            <v>4296.5824000000002</v>
          </cell>
        </row>
        <row r="26">
          <cell r="D26">
            <v>216993.03240000003</v>
          </cell>
          <cell r="E26">
            <v>830184.51240000001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2026936.23</v>
          </cell>
        </row>
        <row r="35">
          <cell r="D35">
            <v>615372.06000000006</v>
          </cell>
        </row>
        <row r="36">
          <cell r="D36">
            <v>107917.08</v>
          </cell>
        </row>
        <row r="37">
          <cell r="D37">
            <v>24593.88</v>
          </cell>
        </row>
        <row r="38">
          <cell r="D38">
            <v>2774819.25</v>
          </cell>
          <cell r="E38">
            <v>2020373.98</v>
          </cell>
        </row>
        <row r="40">
          <cell r="D40">
            <v>-157219239.66999999</v>
          </cell>
        </row>
        <row r="41">
          <cell r="D41">
            <v>-396485797.13</v>
          </cell>
        </row>
        <row r="42">
          <cell r="D42">
            <v>-69625835.930000007</v>
          </cell>
        </row>
        <row r="43">
          <cell r="D43">
            <v>-5341942.51</v>
          </cell>
        </row>
        <row r="44">
          <cell r="D44">
            <v>-628672815.24000001</v>
          </cell>
          <cell r="E44">
            <v>-2576779803.8299999</v>
          </cell>
        </row>
        <row r="46">
          <cell r="D46">
            <v>0</v>
          </cell>
        </row>
        <row r="56">
          <cell r="D56">
            <v>-4461524.18</v>
          </cell>
        </row>
        <row r="57">
          <cell r="D57">
            <v>3933092.26</v>
          </cell>
        </row>
        <row r="58">
          <cell r="D58">
            <v>-678179</v>
          </cell>
        </row>
        <row r="59">
          <cell r="D59">
            <v>-550823.66</v>
          </cell>
        </row>
        <row r="60">
          <cell r="D60">
            <v>-1757434.58</v>
          </cell>
          <cell r="E60">
            <v>-31936324.809999999</v>
          </cell>
        </row>
        <row r="62">
          <cell r="D62">
            <v>4747478.8099999996</v>
          </cell>
        </row>
        <row r="63">
          <cell r="D63">
            <v>407285.63</v>
          </cell>
        </row>
        <row r="64">
          <cell r="D64">
            <v>169170.94</v>
          </cell>
        </row>
        <row r="65">
          <cell r="D65">
            <v>296328.09999999998</v>
          </cell>
        </row>
        <row r="66">
          <cell r="D66">
            <v>5620263.4799999995</v>
          </cell>
          <cell r="E66">
            <v>29633173.759999998</v>
          </cell>
        </row>
      </sheetData>
      <sheetData sheetId="6" refreshError="1">
        <row r="62">
          <cell r="H62">
            <v>-228244.55999999959</v>
          </cell>
        </row>
        <row r="63">
          <cell r="H63">
            <v>-21917.489999999991</v>
          </cell>
        </row>
        <row r="64">
          <cell r="H64">
            <v>-8337.4200000000128</v>
          </cell>
        </row>
        <row r="65">
          <cell r="H65">
            <v>-13736.110000000044</v>
          </cell>
        </row>
      </sheetData>
      <sheetData sheetId="7" refreshError="1">
        <row r="32">
          <cell r="D32">
            <v>0</v>
          </cell>
        </row>
      </sheetData>
      <sheetData sheetId="8" refreshError="1">
        <row r="128">
          <cell r="F128">
            <v>636722968</v>
          </cell>
        </row>
        <row r="143">
          <cell r="F143">
            <v>642632400.71999991</v>
          </cell>
        </row>
        <row r="146">
          <cell r="G146">
            <v>0</v>
          </cell>
        </row>
        <row r="158">
          <cell r="F158">
            <v>636925039.18999994</v>
          </cell>
        </row>
        <row r="159">
          <cell r="G159">
            <v>1422856.21</v>
          </cell>
        </row>
        <row r="160">
          <cell r="G160">
            <v>613191.48</v>
          </cell>
        </row>
        <row r="162">
          <cell r="G162">
            <v>-754445.27000000025</v>
          </cell>
        </row>
        <row r="163">
          <cell r="G163">
            <v>-1948106988.5899997</v>
          </cell>
        </row>
        <row r="164">
          <cell r="G164">
            <v>-30178890.230000004</v>
          </cell>
        </row>
        <row r="165">
          <cell r="G165">
            <v>24285145.859999999</v>
          </cell>
        </row>
      </sheetData>
      <sheetData sheetId="9"/>
      <sheetData sheetId="10" refreshError="1">
        <row r="9">
          <cell r="D9">
            <v>177788142.06</v>
          </cell>
        </row>
        <row r="10">
          <cell r="D10">
            <v>357312204.86000001</v>
          </cell>
        </row>
        <row r="11">
          <cell r="D11">
            <v>66589278.5</v>
          </cell>
        </row>
        <row r="12">
          <cell r="D12">
            <v>22462792.260000002</v>
          </cell>
        </row>
        <row r="14">
          <cell r="D14">
            <v>624152417.68000007</v>
          </cell>
          <cell r="E14">
            <v>4793362756.2399998</v>
          </cell>
        </row>
        <row r="16">
          <cell r="D16">
            <v>-183546.5</v>
          </cell>
        </row>
        <row r="17">
          <cell r="D17">
            <v>-368106.55</v>
          </cell>
        </row>
        <row r="18">
          <cell r="D18">
            <v>-68647.100000000006</v>
          </cell>
        </row>
        <row r="19">
          <cell r="D19">
            <v>-23098.55</v>
          </cell>
        </row>
        <row r="20">
          <cell r="D20">
            <v>-643398.70000000007</v>
          </cell>
          <cell r="E20">
            <v>1858422.94</v>
          </cell>
        </row>
        <row r="22">
          <cell r="D22">
            <v>32191.33</v>
          </cell>
        </row>
        <row r="23">
          <cell r="D23">
            <v>64585.84</v>
          </cell>
        </row>
        <row r="24">
          <cell r="D24">
            <v>12043.53</v>
          </cell>
        </row>
        <row r="25">
          <cell r="D25">
            <v>4052.2</v>
          </cell>
        </row>
        <row r="26">
          <cell r="D26">
            <v>112872.9</v>
          </cell>
          <cell r="E26">
            <v>1417306.1824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10449108.43</v>
          </cell>
        </row>
        <row r="35">
          <cell r="D35">
            <v>159118.46</v>
          </cell>
        </row>
        <row r="36">
          <cell r="D36">
            <v>30715.599999999999</v>
          </cell>
        </row>
        <row r="37">
          <cell r="D37">
            <v>10321.030000000001</v>
          </cell>
        </row>
        <row r="38">
          <cell r="D38">
            <v>10649263.52</v>
          </cell>
          <cell r="E38">
            <v>9657048.9700000007</v>
          </cell>
        </row>
        <row r="40">
          <cell r="D40">
            <v>-147874674.19</v>
          </cell>
        </row>
        <row r="41">
          <cell r="D41">
            <v>-281613958</v>
          </cell>
        </row>
        <row r="42">
          <cell r="D42">
            <v>-76999779</v>
          </cell>
        </row>
        <row r="43">
          <cell r="D43">
            <v>-2295710.71</v>
          </cell>
        </row>
        <row r="44">
          <cell r="D44">
            <v>-508784121.89999998</v>
          </cell>
          <cell r="E44">
            <v>-4761085443.5200005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-36044845.75</v>
          </cell>
        </row>
        <row r="57">
          <cell r="D57">
            <v>-10629250.310000001</v>
          </cell>
        </row>
        <row r="58">
          <cell r="D58">
            <v>-476028.64</v>
          </cell>
        </row>
        <row r="59">
          <cell r="D59">
            <v>-831798.02</v>
          </cell>
        </row>
        <row r="60">
          <cell r="D60">
            <v>-47981922.720000006</v>
          </cell>
          <cell r="E60">
            <v>-128175091.13</v>
          </cell>
        </row>
        <row r="62">
          <cell r="D62">
            <v>2381537.6</v>
          </cell>
        </row>
        <row r="63">
          <cell r="D63">
            <v>143151.6</v>
          </cell>
        </row>
        <row r="64">
          <cell r="D64">
            <v>63751.63</v>
          </cell>
        </row>
        <row r="65">
          <cell r="D65">
            <v>160459</v>
          </cell>
        </row>
        <row r="66">
          <cell r="D66">
            <v>2748899.83</v>
          </cell>
          <cell r="E66">
            <v>43248667.360000007</v>
          </cell>
        </row>
      </sheetData>
      <sheetData sheetId="11" refreshError="1">
        <row r="9">
          <cell r="D9">
            <v>179999580.71000001</v>
          </cell>
        </row>
        <row r="10">
          <cell r="D10">
            <v>361171357.81</v>
          </cell>
        </row>
        <row r="11">
          <cell r="D11">
            <v>67343027.640000001</v>
          </cell>
        </row>
        <row r="12">
          <cell r="D12">
            <v>22657573.469999999</v>
          </cell>
        </row>
        <row r="14">
          <cell r="D14">
            <v>631171539.63</v>
          </cell>
          <cell r="E14">
            <v>4169210338.5599999</v>
          </cell>
        </row>
        <row r="16">
          <cell r="D16">
            <v>96790.71</v>
          </cell>
        </row>
        <row r="17">
          <cell r="D17">
            <v>193088.47</v>
          </cell>
        </row>
        <row r="18">
          <cell r="D18">
            <v>36252.86</v>
          </cell>
        </row>
        <row r="19">
          <cell r="D19">
            <v>11802.63</v>
          </cell>
        </row>
        <row r="20">
          <cell r="D20">
            <v>337934.67</v>
          </cell>
          <cell r="E20">
            <v>2501821.6399999997</v>
          </cell>
        </row>
        <row r="22">
          <cell r="D22">
            <v>62632.34</v>
          </cell>
        </row>
        <row r="23">
          <cell r="D23">
            <v>125659.97</v>
          </cell>
        </row>
        <row r="24">
          <cell r="D24">
            <v>23432.21</v>
          </cell>
        </row>
        <row r="25">
          <cell r="D25">
            <v>7883.92</v>
          </cell>
        </row>
        <row r="26">
          <cell r="D26">
            <v>219608.44</v>
          </cell>
          <cell r="E26">
            <v>1304433.2823999999</v>
          </cell>
        </row>
        <row r="28">
          <cell r="D28">
            <v>0</v>
          </cell>
          <cell r="E28">
            <v>0</v>
          </cell>
        </row>
        <row r="34">
          <cell r="D34">
            <v>17572.87</v>
          </cell>
        </row>
        <row r="35">
          <cell r="D35">
            <v>16043.26</v>
          </cell>
        </row>
        <row r="36">
          <cell r="D36">
            <v>9812.7900000000009</v>
          </cell>
        </row>
        <row r="37">
          <cell r="D37">
            <v>-7738.14</v>
          </cell>
        </row>
        <row r="38">
          <cell r="D38">
            <v>35690.78</v>
          </cell>
          <cell r="E38">
            <v>-992214.55</v>
          </cell>
        </row>
        <row r="40">
          <cell r="D40">
            <v>-167470335.63999999</v>
          </cell>
        </row>
        <row r="41">
          <cell r="D41">
            <v>-342109809.23000002</v>
          </cell>
        </row>
        <row r="42">
          <cell r="D42">
            <v>-73845666.010000005</v>
          </cell>
        </row>
        <row r="43">
          <cell r="D43">
            <v>-3060243.03</v>
          </cell>
        </row>
        <row r="44">
          <cell r="D44">
            <v>-586486053.90999997</v>
          </cell>
          <cell r="E44">
            <v>-4252301321.6199999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-3088665.57</v>
          </cell>
        </row>
        <row r="57">
          <cell r="D57">
            <v>-4984608.68</v>
          </cell>
        </row>
        <row r="58">
          <cell r="D58">
            <v>-391349.82</v>
          </cell>
        </row>
        <row r="59">
          <cell r="D59">
            <v>-528326.88</v>
          </cell>
        </row>
        <row r="60">
          <cell r="D60">
            <v>-8992950.9500000011</v>
          </cell>
          <cell r="E60">
            <v>-80193168.410000011</v>
          </cell>
        </row>
        <row r="62">
          <cell r="D62">
            <v>2672286.79</v>
          </cell>
        </row>
        <row r="63">
          <cell r="D63">
            <v>147386.04999999999</v>
          </cell>
        </row>
        <row r="64">
          <cell r="D64">
            <v>78986.44</v>
          </cell>
        </row>
        <row r="65">
          <cell r="D65">
            <v>174908.97</v>
          </cell>
        </row>
        <row r="66">
          <cell r="D66">
            <v>3073568.25</v>
          </cell>
          <cell r="E66">
            <v>40499767.530000001</v>
          </cell>
        </row>
      </sheetData>
      <sheetData sheetId="12" refreshError="1">
        <row r="16">
          <cell r="D16">
            <v>148543.26999999999</v>
          </cell>
        </row>
        <row r="17">
          <cell r="D17">
            <v>261150.33</v>
          </cell>
        </row>
        <row r="18">
          <cell r="D18">
            <v>77344.02</v>
          </cell>
        </row>
        <row r="19">
          <cell r="D19">
            <v>13310.05</v>
          </cell>
        </row>
        <row r="20">
          <cell r="E20">
            <v>1034262.9900000001</v>
          </cell>
        </row>
        <row r="22">
          <cell r="D22">
            <v>63023</v>
          </cell>
        </row>
        <row r="23">
          <cell r="D23">
            <v>110741.35</v>
          </cell>
        </row>
        <row r="24">
          <cell r="D24">
            <v>32816.99</v>
          </cell>
        </row>
        <row r="25">
          <cell r="D25">
            <v>5688.83</v>
          </cell>
        </row>
        <row r="26">
          <cell r="E26">
            <v>706920.71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4">
          <cell r="D34">
            <v>-1891042.32</v>
          </cell>
        </row>
        <row r="35">
          <cell r="D35">
            <v>-3775090.79</v>
          </cell>
        </row>
        <row r="36">
          <cell r="D36">
            <v>-556953.15</v>
          </cell>
        </row>
        <row r="37">
          <cell r="D37">
            <v>-193904.93</v>
          </cell>
        </row>
        <row r="38">
          <cell r="D38">
            <v>-6416991.1900000004</v>
          </cell>
          <cell r="E38">
            <v>-4619422.28</v>
          </cell>
        </row>
        <row r="44">
          <cell r="E44">
            <v>-2044907696.5199997</v>
          </cell>
        </row>
        <row r="56">
          <cell r="D56">
            <v>-4507861.8099999996</v>
          </cell>
        </row>
        <row r="57">
          <cell r="D57">
            <v>1360930.46</v>
          </cell>
        </row>
        <row r="58">
          <cell r="D58">
            <v>592277.15</v>
          </cell>
        </row>
        <row r="59">
          <cell r="D59">
            <v>-698222.62</v>
          </cell>
        </row>
        <row r="60">
          <cell r="D60">
            <v>-3252876.82</v>
          </cell>
          <cell r="E60">
            <v>-21850964.709999997</v>
          </cell>
        </row>
        <row r="62">
          <cell r="D62">
            <v>1237912.99</v>
          </cell>
        </row>
        <row r="63">
          <cell r="D63">
            <v>49318.02</v>
          </cell>
        </row>
        <row r="64">
          <cell r="D64">
            <v>6249.04</v>
          </cell>
        </row>
        <row r="65">
          <cell r="D65">
            <v>114002.74</v>
          </cell>
        </row>
      </sheetData>
      <sheetData sheetId="13" refreshError="1">
        <row r="9">
          <cell r="D9">
            <v>184420257.34999999</v>
          </cell>
        </row>
        <row r="10">
          <cell r="D10">
            <v>323650319.62</v>
          </cell>
        </row>
        <row r="11">
          <cell r="D11">
            <v>96129449.930000007</v>
          </cell>
        </row>
        <row r="12">
          <cell r="D12">
            <v>16611851.460000001</v>
          </cell>
        </row>
        <row r="14">
          <cell r="D14">
            <v>620811878.36000013</v>
          </cell>
          <cell r="E14">
            <v>1246037484.0899999</v>
          </cell>
        </row>
        <row r="16">
          <cell r="D16">
            <v>103507.9</v>
          </cell>
        </row>
        <row r="17">
          <cell r="D17">
            <v>181964.86</v>
          </cell>
        </row>
        <row r="18">
          <cell r="D18">
            <v>53902.89</v>
          </cell>
        </row>
        <row r="19">
          <cell r="D19">
            <v>9369.1</v>
          </cell>
        </row>
        <row r="20">
          <cell r="D20">
            <v>348744.75</v>
          </cell>
          <cell r="E20">
            <v>533915.31999999995</v>
          </cell>
        </row>
        <row r="22">
          <cell r="D22">
            <v>61665.35</v>
          </cell>
        </row>
        <row r="23">
          <cell r="D23">
            <v>108355.69</v>
          </cell>
        </row>
        <row r="24">
          <cell r="D24">
            <v>32109.99</v>
          </cell>
        </row>
        <row r="25">
          <cell r="D25">
            <v>5566.3</v>
          </cell>
        </row>
        <row r="26">
          <cell r="D26">
            <v>207697.33</v>
          </cell>
          <cell r="E26">
            <v>494650.54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  <cell r="E32">
            <v>5454.4</v>
          </cell>
        </row>
        <row r="34">
          <cell r="D34">
            <v>226571.73</v>
          </cell>
        </row>
        <row r="35">
          <cell r="D35">
            <v>200960.65</v>
          </cell>
        </row>
        <row r="36">
          <cell r="D36">
            <v>84685.56</v>
          </cell>
        </row>
        <row r="37">
          <cell r="D37">
            <v>10935.06</v>
          </cell>
        </row>
        <row r="38">
          <cell r="D38">
            <v>523153</v>
          </cell>
          <cell r="E38">
            <v>1797568.9100000001</v>
          </cell>
        </row>
        <row r="40">
          <cell r="D40">
            <v>-164907485.94999999</v>
          </cell>
        </row>
        <row r="41">
          <cell r="D41">
            <v>-379545750</v>
          </cell>
        </row>
        <row r="42">
          <cell r="D42">
            <v>-94985945</v>
          </cell>
        </row>
        <row r="43">
          <cell r="D43">
            <v>-4406280.8899999997</v>
          </cell>
        </row>
        <row r="44">
          <cell r="D44">
            <v>-643845461.84000003</v>
          </cell>
          <cell r="E44">
            <v>-1446396978.3299999</v>
          </cell>
        </row>
        <row r="50">
          <cell r="D50">
            <v>0</v>
          </cell>
          <cell r="E50">
            <v>0</v>
          </cell>
        </row>
        <row r="56">
          <cell r="D56">
            <v>-2856696.33</v>
          </cell>
        </row>
        <row r="57">
          <cell r="D57">
            <v>-5018736.13</v>
          </cell>
        </row>
        <row r="58">
          <cell r="D58">
            <v>-1487316.91</v>
          </cell>
        </row>
        <row r="59">
          <cell r="D59">
            <v>-257732.71</v>
          </cell>
        </row>
        <row r="60">
          <cell r="D60">
            <v>-9620482.0800000001</v>
          </cell>
          <cell r="E60">
            <v>-18598087.890000004</v>
          </cell>
        </row>
        <row r="62">
          <cell r="D62">
            <v>1269845.45</v>
          </cell>
        </row>
        <row r="63">
          <cell r="D63">
            <v>69177.86</v>
          </cell>
        </row>
        <row r="64">
          <cell r="D64">
            <v>7777.02</v>
          </cell>
        </row>
        <row r="65">
          <cell r="D65">
            <v>110425</v>
          </cell>
        </row>
        <row r="66">
          <cell r="D66">
            <v>1457225.33</v>
          </cell>
          <cell r="E66">
            <v>3122283.71</v>
          </cell>
        </row>
      </sheetData>
      <sheetData sheetId="14" refreshError="1">
        <row r="9">
          <cell r="E9">
            <v>185611365.80000001</v>
          </cell>
        </row>
        <row r="10">
          <cell r="E10">
            <v>326243675.63999999</v>
          </cell>
        </row>
        <row r="11">
          <cell r="E11">
            <v>96640155.180000007</v>
          </cell>
        </row>
        <row r="12">
          <cell r="E12">
            <v>16730409.109999999</v>
          </cell>
        </row>
        <row r="14">
          <cell r="D14">
            <v>625225605.73000002</v>
          </cell>
          <cell r="E14">
            <v>625225605.73000002</v>
          </cell>
        </row>
        <row r="16">
          <cell r="E16">
            <v>59177.120000000003</v>
          </cell>
        </row>
        <row r="17">
          <cell r="E17">
            <v>85507.32</v>
          </cell>
        </row>
        <row r="18">
          <cell r="E18">
            <v>35889.11</v>
          </cell>
        </row>
        <row r="19">
          <cell r="E19">
            <v>4597.0200000000004</v>
          </cell>
        </row>
        <row r="20">
          <cell r="D20">
            <v>185170.56999999998</v>
          </cell>
          <cell r="E20">
            <v>185170.56999999998</v>
          </cell>
        </row>
        <row r="22">
          <cell r="E22">
            <v>85196.42</v>
          </cell>
        </row>
        <row r="23">
          <cell r="E23">
            <v>149703.49</v>
          </cell>
        </row>
        <row r="24">
          <cell r="E24">
            <v>44362.97</v>
          </cell>
        </row>
        <row r="25">
          <cell r="E25">
            <v>7690.33</v>
          </cell>
        </row>
        <row r="26">
          <cell r="D26">
            <v>286953.21000000002</v>
          </cell>
          <cell r="E26">
            <v>286953.21000000002</v>
          </cell>
        </row>
        <row r="28">
          <cell r="E28">
            <v>1619.62</v>
          </cell>
        </row>
        <row r="29">
          <cell r="E29">
            <v>2845.41</v>
          </cell>
        </row>
        <row r="30">
          <cell r="E30">
            <v>843.24</v>
          </cell>
        </row>
        <row r="31">
          <cell r="E31">
            <v>146.13</v>
          </cell>
        </row>
        <row r="32">
          <cell r="D32">
            <v>5454.4</v>
          </cell>
          <cell r="E32">
            <v>5454.4</v>
          </cell>
        </row>
        <row r="34">
          <cell r="E34">
            <v>628533.94999999995</v>
          </cell>
        </row>
        <row r="35">
          <cell r="E35">
            <v>520407.71</v>
          </cell>
        </row>
        <row r="36">
          <cell r="E36">
            <v>100129.2</v>
          </cell>
        </row>
        <row r="37">
          <cell r="E37">
            <v>25345.05</v>
          </cell>
        </row>
        <row r="38">
          <cell r="D38">
            <v>1274415.9099999999</v>
          </cell>
          <cell r="E38">
            <v>1274415.9099999999</v>
          </cell>
        </row>
        <row r="40">
          <cell r="E40">
            <v>-307456203.58999997</v>
          </cell>
        </row>
        <row r="41">
          <cell r="E41">
            <v>-392167458</v>
          </cell>
        </row>
        <row r="42">
          <cell r="E42">
            <v>-93423660</v>
          </cell>
        </row>
        <row r="43">
          <cell r="E43">
            <v>-9504194.9000000004</v>
          </cell>
        </row>
        <row r="44">
          <cell r="D44">
            <v>-802551516.48999989</v>
          </cell>
          <cell r="E44">
            <v>-802551516.48999989</v>
          </cell>
        </row>
        <row r="50">
          <cell r="E50">
            <v>0</v>
          </cell>
        </row>
        <row r="56">
          <cell r="E56">
            <v>-11174037.43</v>
          </cell>
        </row>
        <row r="57">
          <cell r="E57">
            <v>2029575.97</v>
          </cell>
        </row>
        <row r="58">
          <cell r="E58">
            <v>1230722.29</v>
          </cell>
        </row>
        <row r="59">
          <cell r="E59">
            <v>-1063866.6399999999</v>
          </cell>
        </row>
        <row r="60">
          <cell r="D60">
            <v>-8977605.8099999987</v>
          </cell>
          <cell r="E60">
            <v>-8977605.8099999987</v>
          </cell>
        </row>
        <row r="62">
          <cell r="E62">
            <v>1446055.48</v>
          </cell>
        </row>
        <row r="63">
          <cell r="E63">
            <v>90430.45</v>
          </cell>
        </row>
        <row r="64">
          <cell r="E64">
            <v>11650.9</v>
          </cell>
        </row>
        <row r="65">
          <cell r="E65">
            <v>116921.55</v>
          </cell>
        </row>
        <row r="66">
          <cell r="D66">
            <v>1665058.38</v>
          </cell>
          <cell r="E66">
            <v>1665058.38</v>
          </cell>
        </row>
      </sheetData>
      <sheetData sheetId="15" refreshError="1">
        <row r="9">
          <cell r="D9">
            <v>177202066.53999999</v>
          </cell>
        </row>
        <row r="10">
          <cell r="D10">
            <v>372887472.37</v>
          </cell>
        </row>
        <row r="11">
          <cell r="D11">
            <v>75441055.049999997</v>
          </cell>
        </row>
        <row r="12">
          <cell r="D12">
            <v>18310473.59</v>
          </cell>
        </row>
        <row r="14">
          <cell r="D14">
            <v>643841067.54999995</v>
          </cell>
          <cell r="E14">
            <v>7347908225.3900003</v>
          </cell>
        </row>
        <row r="16">
          <cell r="D16">
            <v>96866.12</v>
          </cell>
        </row>
        <row r="17">
          <cell r="D17">
            <v>203552.83</v>
          </cell>
        </row>
        <row r="18">
          <cell r="D18">
            <v>41200.480000000003</v>
          </cell>
        </row>
        <row r="19">
          <cell r="D19">
            <v>10022.36</v>
          </cell>
        </row>
        <row r="20">
          <cell r="D20">
            <v>351641.78999999992</v>
          </cell>
          <cell r="E20">
            <v>4370544.49</v>
          </cell>
        </row>
        <row r="22">
          <cell r="D22">
            <v>84223.3</v>
          </cell>
        </row>
        <row r="23">
          <cell r="D23">
            <v>177260.61</v>
          </cell>
        </row>
        <row r="24">
          <cell r="D24">
            <v>35868.32</v>
          </cell>
        </row>
        <row r="25">
          <cell r="D25">
            <v>8691.69</v>
          </cell>
        </row>
        <row r="26">
          <cell r="D26">
            <v>306043.92</v>
          </cell>
          <cell r="E26">
            <v>2527271.2424000003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72294.27</v>
          </cell>
        </row>
        <row r="35">
          <cell r="D35">
            <v>-235172.31</v>
          </cell>
        </row>
        <row r="36">
          <cell r="D36">
            <v>-48196.56</v>
          </cell>
        </row>
        <row r="37">
          <cell r="D37">
            <v>-11700.01</v>
          </cell>
        </row>
        <row r="38">
          <cell r="D38">
            <v>-222774.61</v>
          </cell>
          <cell r="E38">
            <v>5584964.9299999997</v>
          </cell>
        </row>
        <row r="40">
          <cell r="D40">
            <v>-112602272.54000001</v>
          </cell>
        </row>
        <row r="41">
          <cell r="D41">
            <v>-384551920.83999997</v>
          </cell>
        </row>
        <row r="42">
          <cell r="D42">
            <v>-87053670.969999999</v>
          </cell>
        </row>
        <row r="43">
          <cell r="D43">
            <v>-4530375.7</v>
          </cell>
        </row>
        <row r="44">
          <cell r="D44">
            <v>-588738240.05000007</v>
          </cell>
          <cell r="E44">
            <v>-7172204187.5500002</v>
          </cell>
        </row>
        <row r="50">
          <cell r="D50">
            <v>0</v>
          </cell>
          <cell r="E50">
            <v>0</v>
          </cell>
        </row>
        <row r="56">
          <cell r="D56">
            <v>-1484965.19</v>
          </cell>
        </row>
        <row r="57">
          <cell r="D57">
            <v>-3124241.57</v>
          </cell>
        </row>
        <row r="58">
          <cell r="D58">
            <v>-631735.6</v>
          </cell>
        </row>
        <row r="59">
          <cell r="D59">
            <v>-153977.19</v>
          </cell>
        </row>
        <row r="60">
          <cell r="D60">
            <v>-5394919.5499999998</v>
          </cell>
          <cell r="E60">
            <v>-188170907.57000002</v>
          </cell>
        </row>
        <row r="62">
          <cell r="D62">
            <v>1528516.44</v>
          </cell>
        </row>
        <row r="63">
          <cell r="D63">
            <v>99715.16</v>
          </cell>
        </row>
        <row r="64">
          <cell r="D64">
            <v>17339.53</v>
          </cell>
        </row>
        <row r="65">
          <cell r="D65">
            <v>117488.28</v>
          </cell>
        </row>
        <row r="66">
          <cell r="D66">
            <v>1763059.41</v>
          </cell>
          <cell r="E66">
            <v>51688830.159999996</v>
          </cell>
        </row>
      </sheetData>
      <sheetData sheetId="16" refreshError="1">
        <row r="9">
          <cell r="D9">
            <v>176853307.27000001</v>
          </cell>
        </row>
        <row r="10">
          <cell r="D10">
            <v>372122613.39999998</v>
          </cell>
        </row>
        <row r="11">
          <cell r="D11">
            <v>75635189.739999995</v>
          </cell>
        </row>
        <row r="12">
          <cell r="D12">
            <v>18283725.789999999</v>
          </cell>
        </row>
        <row r="14">
          <cell r="D14">
            <v>642894836.19999993</v>
          </cell>
          <cell r="E14">
            <v>6704067157.8400002</v>
          </cell>
        </row>
        <row r="16">
          <cell r="D16">
            <v>390458.37</v>
          </cell>
        </row>
        <row r="17">
          <cell r="D17">
            <v>821650.04</v>
          </cell>
        </row>
        <row r="18">
          <cell r="D18">
            <v>166271.17000000001</v>
          </cell>
        </row>
        <row r="19">
          <cell r="D19">
            <v>40288.01</v>
          </cell>
        </row>
        <row r="20">
          <cell r="D20">
            <v>1418667.59</v>
          </cell>
          <cell r="E20">
            <v>4018902.7</v>
          </cell>
        </row>
        <row r="22">
          <cell r="D22">
            <v>41173.82</v>
          </cell>
        </row>
        <row r="23">
          <cell r="D23">
            <v>86656.5</v>
          </cell>
        </row>
        <row r="24">
          <cell r="D24">
            <v>17534.8</v>
          </cell>
        </row>
        <row r="25">
          <cell r="D25">
            <v>4248.99</v>
          </cell>
        </row>
        <row r="26">
          <cell r="D26">
            <v>149614.10999999999</v>
          </cell>
          <cell r="E26">
            <v>2221227.3224000004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</row>
        <row r="34">
          <cell r="D34">
            <v>-2276562.25</v>
          </cell>
        </row>
        <row r="35">
          <cell r="D35">
            <v>278722.78999999998</v>
          </cell>
        </row>
        <row r="36">
          <cell r="D36">
            <v>55075.95</v>
          </cell>
        </row>
        <row r="37">
          <cell r="D37">
            <v>13368.23</v>
          </cell>
        </row>
        <row r="38">
          <cell r="D38">
            <v>-1929395.28</v>
          </cell>
          <cell r="E38">
            <v>5807739.54</v>
          </cell>
        </row>
        <row r="40">
          <cell r="D40">
            <v>-191739966.96000001</v>
          </cell>
        </row>
        <row r="41">
          <cell r="D41">
            <v>-380569381.48000002</v>
          </cell>
        </row>
        <row r="42">
          <cell r="D42">
            <v>-87689506</v>
          </cell>
        </row>
        <row r="43">
          <cell r="D43">
            <v>-12032597.039999999</v>
          </cell>
        </row>
        <row r="44">
          <cell r="D44">
            <v>-672031451.48000002</v>
          </cell>
          <cell r="E44">
            <v>-6583465947.5</v>
          </cell>
        </row>
        <row r="50">
          <cell r="D50">
            <v>0</v>
          </cell>
          <cell r="E50">
            <v>0</v>
          </cell>
        </row>
        <row r="54">
          <cell r="E54">
            <v>0</v>
          </cell>
        </row>
        <row r="56">
          <cell r="D56">
            <v>-4468619.8</v>
          </cell>
        </row>
        <row r="57">
          <cell r="D57">
            <v>-1361885.56</v>
          </cell>
        </row>
        <row r="58">
          <cell r="D58">
            <v>-172009.4</v>
          </cell>
        </row>
        <row r="59">
          <cell r="D59">
            <v>-722791.23</v>
          </cell>
        </row>
        <row r="60">
          <cell r="D60">
            <v>-6725305.9900000002</v>
          </cell>
          <cell r="E60">
            <v>-182775988.02000001</v>
          </cell>
        </row>
        <row r="66">
          <cell r="D66">
            <v>2087373.8900000001</v>
          </cell>
          <cell r="E66">
            <v>49925770.75</v>
          </cell>
        </row>
      </sheetData>
      <sheetData sheetId="17"/>
      <sheetData sheetId="18" refreshError="1">
        <row r="38">
          <cell r="D38">
            <v>-1975103.25</v>
          </cell>
        </row>
        <row r="40">
          <cell r="D40">
            <v>-128922160.66</v>
          </cell>
        </row>
        <row r="43">
          <cell r="D43">
            <v>-7645108.7400000002</v>
          </cell>
        </row>
        <row r="44">
          <cell r="D44">
            <v>-558328496.1099999</v>
          </cell>
          <cell r="E44">
            <v>-5319413939.6300001</v>
          </cell>
        </row>
      </sheetData>
      <sheetData sheetId="19" refreshError="1">
        <row r="34">
          <cell r="D34">
            <v>-721635.83999999997</v>
          </cell>
        </row>
        <row r="35">
          <cell r="D35">
            <v>-1008193.36</v>
          </cell>
        </row>
        <row r="36">
          <cell r="D36">
            <v>-181939.72</v>
          </cell>
        </row>
        <row r="37">
          <cell r="D37">
            <v>-63334.33</v>
          </cell>
        </row>
        <row r="38">
          <cell r="E38">
            <v>7681945.7199999997</v>
          </cell>
        </row>
      </sheetData>
      <sheetData sheetId="20" refreshError="1">
        <row r="9">
          <cell r="D9">
            <v>181165987.53</v>
          </cell>
        </row>
        <row r="10">
          <cell r="D10">
            <v>363444705.12</v>
          </cell>
        </row>
        <row r="11">
          <cell r="D11">
            <v>67787859.980000004</v>
          </cell>
        </row>
        <row r="12">
          <cell r="D12">
            <v>22782635.739999998</v>
          </cell>
        </row>
        <row r="14">
          <cell r="D14">
            <v>635181188.37</v>
          </cell>
          <cell r="E14">
            <v>5428543944.6099997</v>
          </cell>
        </row>
        <row r="16">
          <cell r="D16">
            <v>114160.23</v>
          </cell>
        </row>
        <row r="17">
          <cell r="D17">
            <v>229029.06</v>
          </cell>
        </row>
        <row r="18">
          <cell r="D18">
            <v>42751.22</v>
          </cell>
        </row>
        <row r="19">
          <cell r="D19">
            <v>14335.6</v>
          </cell>
        </row>
        <row r="20">
          <cell r="D20">
            <v>400276.11</v>
          </cell>
          <cell r="E20">
            <v>2258699.0500000003</v>
          </cell>
        </row>
        <row r="22">
          <cell r="D22">
            <v>27424.11</v>
          </cell>
        </row>
        <row r="23">
          <cell r="D23">
            <v>55021.3</v>
          </cell>
        </row>
        <row r="24">
          <cell r="D24">
            <v>10259.99</v>
          </cell>
        </row>
        <row r="25">
          <cell r="D25">
            <v>3452.01</v>
          </cell>
        </row>
        <row r="26">
          <cell r="D26">
            <v>96157.41</v>
          </cell>
          <cell r="E26">
            <v>1513463.5924</v>
          </cell>
        </row>
        <row r="28">
          <cell r="D28">
            <v>0</v>
          </cell>
          <cell r="E28">
            <v>0</v>
          </cell>
        </row>
        <row r="32">
          <cell r="D32">
            <v>0</v>
          </cell>
          <cell r="E32">
            <v>0</v>
          </cell>
        </row>
        <row r="41">
          <cell r="D41">
            <v>-339487834.27999997</v>
          </cell>
        </row>
        <row r="42">
          <cell r="D42">
            <v>-82273392.430000007</v>
          </cell>
        </row>
        <row r="50">
          <cell r="D50">
            <v>0</v>
          </cell>
          <cell r="E50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-19168935.77</v>
          </cell>
        </row>
        <row r="57">
          <cell r="D57">
            <v>-7409152</v>
          </cell>
        </row>
        <row r="58">
          <cell r="D58">
            <v>-380787.23</v>
          </cell>
        </row>
        <row r="59">
          <cell r="D59">
            <v>-648022.44999999995</v>
          </cell>
        </row>
        <row r="60">
          <cell r="D60">
            <v>-27606897.449999999</v>
          </cell>
          <cell r="E60">
            <v>-155781988.57999998</v>
          </cell>
        </row>
        <row r="62">
          <cell r="D62">
            <v>2106081.13</v>
          </cell>
        </row>
        <row r="63">
          <cell r="D63">
            <v>126054.72</v>
          </cell>
        </row>
        <row r="64">
          <cell r="D64">
            <v>45556.84</v>
          </cell>
        </row>
        <row r="65">
          <cell r="D65">
            <v>149259.57</v>
          </cell>
        </row>
        <row r="66">
          <cell r="D66">
            <v>2426952.2599999998</v>
          </cell>
          <cell r="E66">
            <v>45675619.620000005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174076882.43000001</v>
          </cell>
        </row>
        <row r="10">
          <cell r="D10">
            <v>366372280.5</v>
          </cell>
        </row>
        <row r="11">
          <cell r="D11">
            <v>74159780.200000003</v>
          </cell>
        </row>
        <row r="12">
          <cell r="D12">
            <v>18019433.899999999</v>
          </cell>
        </row>
        <row r="14">
          <cell r="D14">
            <v>632628377.03000009</v>
          </cell>
          <cell r="E14">
            <v>6061172321.6400003</v>
          </cell>
        </row>
        <row r="16">
          <cell r="D16">
            <v>94002.3</v>
          </cell>
        </row>
        <row r="17">
          <cell r="D17">
            <v>197751.38</v>
          </cell>
        </row>
        <row r="18">
          <cell r="D18">
            <v>40046.629999999997</v>
          </cell>
        </row>
        <row r="19">
          <cell r="D19">
            <v>9735.75</v>
          </cell>
        </row>
        <row r="20">
          <cell r="D20">
            <v>341536.06</v>
          </cell>
          <cell r="E20">
            <v>2600235.11</v>
          </cell>
        </row>
        <row r="22">
          <cell r="D22">
            <v>153602.82</v>
          </cell>
        </row>
        <row r="23">
          <cell r="D23">
            <v>323280.21999999997</v>
          </cell>
        </row>
        <row r="24">
          <cell r="D24">
            <v>65415.19</v>
          </cell>
        </row>
        <row r="25">
          <cell r="D25">
            <v>15851.39</v>
          </cell>
        </row>
        <row r="26">
          <cell r="D26">
            <v>558149.62</v>
          </cell>
          <cell r="E26">
            <v>2071613.2123999998</v>
          </cell>
        </row>
        <row r="28">
          <cell r="D28">
            <v>0</v>
          </cell>
        </row>
        <row r="32">
          <cell r="D32">
            <v>0</v>
          </cell>
        </row>
        <row r="34">
          <cell r="D34">
            <v>-22310.98</v>
          </cell>
        </row>
        <row r="35">
          <cell r="D35">
            <v>62132.76</v>
          </cell>
        </row>
        <row r="36">
          <cell r="D36">
            <v>11470.5</v>
          </cell>
        </row>
        <row r="37">
          <cell r="D37">
            <v>3896.82</v>
          </cell>
        </row>
        <row r="38">
          <cell r="D38">
            <v>55189.1</v>
          </cell>
          <cell r="E38">
            <v>7737134.8200000012</v>
          </cell>
        </row>
        <row r="40">
          <cell r="D40">
            <v>-161689995.06</v>
          </cell>
        </row>
        <row r="41">
          <cell r="D41">
            <v>-335831676.80000001</v>
          </cell>
        </row>
        <row r="42">
          <cell r="D42">
            <v>-83771305.719999999</v>
          </cell>
        </row>
        <row r="43">
          <cell r="D43">
            <v>-10727578.810000001</v>
          </cell>
        </row>
        <row r="44">
          <cell r="D44">
            <v>-592020556.38999999</v>
          </cell>
          <cell r="E44">
            <v>-5911434496.0199995</v>
          </cell>
        </row>
        <row r="50">
          <cell r="D50">
            <v>0</v>
          </cell>
        </row>
        <row r="56">
          <cell r="D56">
            <v>-5038244.04</v>
          </cell>
        </row>
        <row r="57">
          <cell r="D57">
            <v>-13328243.23</v>
          </cell>
        </row>
        <row r="58">
          <cell r="D58">
            <v>-1350136.4</v>
          </cell>
        </row>
        <row r="59">
          <cell r="D59">
            <v>-552069.78</v>
          </cell>
        </row>
        <row r="60">
          <cell r="D60">
            <v>-20268693.449999999</v>
          </cell>
          <cell r="E60">
            <v>-176050682.03</v>
          </cell>
        </row>
        <row r="62">
          <cell r="D62">
            <v>1876742.11</v>
          </cell>
        </row>
        <row r="63">
          <cell r="D63">
            <v>116916.06</v>
          </cell>
        </row>
        <row r="64">
          <cell r="D64">
            <v>31015.13</v>
          </cell>
        </row>
        <row r="65">
          <cell r="D65">
            <v>138103.94</v>
          </cell>
        </row>
        <row r="66">
          <cell r="D66">
            <v>2162777.2400000002</v>
          </cell>
          <cell r="E66">
            <v>47838396.860000007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62">
          <cell r="D62">
            <v>1810581.71</v>
          </cell>
        </row>
        <row r="63">
          <cell r="D63">
            <v>115456.84</v>
          </cell>
        </row>
        <row r="64">
          <cell r="D64">
            <v>27073.05</v>
          </cell>
        </row>
        <row r="65">
          <cell r="D65">
            <v>134262.29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54">
          <cell r="D54">
            <v>0</v>
          </cell>
          <cell r="E54">
            <v>0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54">
          <cell r="D54">
            <v>0</v>
          </cell>
          <cell r="E54">
            <v>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9">
          <cell r="D9">
            <v>184187556.27000001</v>
          </cell>
        </row>
        <row r="10">
          <cell r="D10">
            <v>323261233.02999997</v>
          </cell>
        </row>
        <row r="11">
          <cell r="D11">
            <v>96043842.390000001</v>
          </cell>
        </row>
        <row r="12">
          <cell r="D12">
            <v>16597696.42</v>
          </cell>
        </row>
        <row r="14">
          <cell r="D14">
            <v>620090328.1099999</v>
          </cell>
          <cell r="E14">
            <v>1866127812.2</v>
          </cell>
        </row>
        <row r="40">
          <cell r="D40">
            <v>-101992218.39</v>
          </cell>
        </row>
        <row r="41">
          <cell r="D41">
            <v>-388317084</v>
          </cell>
        </row>
        <row r="42">
          <cell r="D42">
            <v>-100785673.34</v>
          </cell>
        </row>
        <row r="43">
          <cell r="D43">
            <v>-7415742.46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20">
          <cell r="D20">
            <v>500347.67</v>
          </cell>
        </row>
        <row r="26">
          <cell r="D26">
            <v>212270.16999999998</v>
          </cell>
        </row>
        <row r="32">
          <cell r="E32">
            <v>5454.4</v>
          </cell>
        </row>
        <row r="44">
          <cell r="D44">
            <v>-598510718.19000006</v>
          </cell>
        </row>
        <row r="66">
          <cell r="D66">
            <v>1407482.79</v>
          </cell>
          <cell r="E66">
            <v>4529766.5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304">
          <cell r="F304">
            <v>907283.63</v>
          </cell>
          <cell r="G304">
            <v>1128820.45</v>
          </cell>
        </row>
        <row r="305">
          <cell r="F305">
            <v>1763367.85</v>
          </cell>
          <cell r="G305">
            <v>2193910.7400000002</v>
          </cell>
        </row>
        <row r="306">
          <cell r="F306">
            <v>1042058.52</v>
          </cell>
          <cell r="G306">
            <v>1296607.54</v>
          </cell>
        </row>
        <row r="307">
          <cell r="F307">
            <v>51952.34</v>
          </cell>
          <cell r="G307">
            <v>64638.9</v>
          </cell>
        </row>
        <row r="325">
          <cell r="F325">
            <v>0</v>
          </cell>
          <cell r="G325">
            <v>-7154.15</v>
          </cell>
        </row>
        <row r="327">
          <cell r="F327">
            <v>2259643</v>
          </cell>
          <cell r="G327">
            <v>10122096.720000001</v>
          </cell>
        </row>
        <row r="328">
          <cell r="F328">
            <v>158507.70000000001</v>
          </cell>
          <cell r="G328">
            <v>150290.82</v>
          </cell>
        </row>
        <row r="329">
          <cell r="G329">
            <v>-409.66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Aug Rollforward Account"/>
      <sheetName val="July Rollforward Account"/>
      <sheetName val="Aug 2014 TB"/>
      <sheetName val="CASH JE 8-14 NGP"/>
      <sheetName val="AR JE 8-14 NGP"/>
      <sheetName val="AP JE 8-14 NGP"/>
      <sheetName val="CORR JE 08-14"/>
      <sheetName val="AR Sch -July2014"/>
      <sheetName val="Aug14-Cash &amp; Invest Rollforward"/>
      <sheetName val="Aug 2014 AP Schedule"/>
      <sheetName val="July 2014 Manual Entry"/>
      <sheetName val="Aug 14 Investment Portfolio"/>
      <sheetName val="Aug14 Inv Purch &amp; Redemp"/>
      <sheetName val="August 2014 Netting"/>
      <sheetName val="Aug 2014 Accrued Liabilities"/>
      <sheetName val="Transferred DCIA-August2014"/>
      <sheetName val="Aug 14 Prog Recov"/>
      <sheetName val="SLD COMAD Aug 2014"/>
      <sheetName val="COMADs RHC Subledger-Aug"/>
      <sheetName val="Payment Plan Subleg-Aug14"/>
      <sheetName val="Pre-petition Bankruptcy SL08-14"/>
      <sheetName val="Jul14 Stale-Uncollectible Bktcy"/>
      <sheetName val="USAC Invoice-Aug 2014"/>
      <sheetName val="EOM Periodic Interest-August14"/>
      <sheetName val="Potential Write-offs-083114"/>
      <sheetName val="CORR JE#1-2"/>
      <sheetName val="CORR JE#3-Disb Integration"/>
      <sheetName val="CORR JE#4-LI Neg Disb Int"/>
      <sheetName val="CORR JE#5-DCIA Entry"/>
      <sheetName val="CORR JE#6"/>
      <sheetName val="CORR JE#7-HC Unbilled Neg Disb"/>
      <sheetName val="CORR JE#8 PYMT Admin Fees"/>
      <sheetName val="CORR JE#9-Cash-AR  Reclass"/>
      <sheetName val="CORR JE#10-AP Exception"/>
      <sheetName val="CORR JE#11 -HC Contrb Reversal"/>
      <sheetName val="CORR JE#12"/>
      <sheetName val="CORR JE#13-14"/>
      <sheetName val="CORR JE#15"/>
      <sheetName val="CORR JE#16"/>
      <sheetName val="CORR JE#17"/>
      <sheetName val="CORR JE#18"/>
      <sheetName val="CORR JE#19"/>
      <sheetName val="CORR JE#20"/>
      <sheetName val="CORR JE#21"/>
      <sheetName val="CORR JE#22"/>
      <sheetName val="Man Late Filing Fee 499A&amp;Q"/>
      <sheetName val="ADA True Up Sept2014"/>
    </sheetNames>
    <sheetDataSet>
      <sheetData sheetId="0"/>
      <sheetData sheetId="1">
        <row r="577">
          <cell r="C577">
            <v>-3414216.7295999997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Sheet2"/>
      <sheetName val="Sheet3"/>
    </sheetNames>
    <sheetDataSet>
      <sheetData sheetId="0">
        <row r="300">
          <cell r="F300">
            <v>109227.53</v>
          </cell>
          <cell r="G300">
            <v>221536.82</v>
          </cell>
        </row>
        <row r="301">
          <cell r="F301">
            <v>212291.17</v>
          </cell>
          <cell r="G301">
            <v>430542.89</v>
          </cell>
        </row>
        <row r="302">
          <cell r="F302">
            <v>125453.03</v>
          </cell>
          <cell r="G302">
            <v>254549.02</v>
          </cell>
        </row>
        <row r="303">
          <cell r="F303">
            <v>6254.53</v>
          </cell>
          <cell r="G303">
            <v>12686.56</v>
          </cell>
        </row>
        <row r="319">
          <cell r="F319">
            <v>-7154.15</v>
          </cell>
          <cell r="G319">
            <v>-7154.15</v>
          </cell>
        </row>
        <row r="321">
          <cell r="F321">
            <v>-13904.57</v>
          </cell>
          <cell r="G321">
            <v>7862453.7199999997</v>
          </cell>
        </row>
        <row r="322">
          <cell r="F322">
            <v>-8216.8799999999992</v>
          </cell>
          <cell r="G322">
            <v>-8216.8799999999992</v>
          </cell>
        </row>
        <row r="323">
          <cell r="F323">
            <v>-409.66</v>
          </cell>
          <cell r="G323">
            <v>-409.66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0 Bank rec"/>
      <sheetName val="May 2010 Bank to 224"/>
      <sheetName val="Funds Held Outside Treasury"/>
      <sheetName val="Receipts"/>
      <sheetName val="Outlays"/>
      <sheetName val="Investment Purch &amp; Redemp"/>
      <sheetName val="Accounting Entries"/>
      <sheetName val="USF"/>
      <sheetName val="Treasury Purchases"/>
      <sheetName val="Receipts (1)"/>
      <sheetName val="Outlays (1)"/>
      <sheetName val="Funds held outside tr (1)"/>
      <sheetName val="Disb support II"/>
      <sheetName val="Sheet1"/>
      <sheetName val="Disburse support"/>
    </sheetNames>
    <sheetDataSet>
      <sheetData sheetId="0">
        <row r="6">
          <cell r="E6">
            <v>185431497.48868498</v>
          </cell>
          <cell r="F6">
            <v>389903802.18740994</v>
          </cell>
          <cell r="G6">
            <v>127732081.70068499</v>
          </cell>
          <cell r="H6">
            <v>18175315.973219998</v>
          </cell>
        </row>
        <row r="7">
          <cell r="E7">
            <v>6007.9719329999998</v>
          </cell>
          <cell r="F7">
            <v>12632.865137999999</v>
          </cell>
          <cell r="G7">
            <v>4138.5135330000003</v>
          </cell>
          <cell r="H7">
            <v>588.87939600000004</v>
          </cell>
        </row>
        <row r="8">
          <cell r="E8">
            <v>1929.7617479999999</v>
          </cell>
          <cell r="F8">
            <v>4057.6787279999999</v>
          </cell>
          <cell r="G8">
            <v>1329.291348</v>
          </cell>
          <cell r="H8">
            <v>189.14817600000001</v>
          </cell>
        </row>
        <row r="9">
          <cell r="D9" t="str">
            <v>Reverse Consistent Pymt -Current Period Receipt</v>
          </cell>
        </row>
        <row r="10">
          <cell r="E10">
            <v>-14555.225438999998</v>
          </cell>
          <cell r="F10">
            <v>-30605.036453999997</v>
          </cell>
          <cell r="G10">
            <v>-10026.178238999999</v>
          </cell>
          <cell r="H10">
            <v>-1426.649868</v>
          </cell>
        </row>
        <row r="12">
          <cell r="E12">
            <v>1758.800532</v>
          </cell>
          <cell r="F12">
            <v>3698.201352</v>
          </cell>
          <cell r="G12">
            <v>1211.526932</v>
          </cell>
          <cell r="H12">
            <v>172.39118400000001</v>
          </cell>
        </row>
        <row r="13">
          <cell r="E13">
            <v>8059.7944770000004</v>
          </cell>
          <cell r="F13">
            <v>16947.199122000002</v>
          </cell>
          <cell r="G13">
            <v>5551.8848770000004</v>
          </cell>
          <cell r="H13">
            <v>789.99152400000003</v>
          </cell>
        </row>
        <row r="15">
          <cell r="I15">
            <v>3742236.0500000007</v>
          </cell>
        </row>
        <row r="16">
          <cell r="E16">
            <v>0</v>
          </cell>
          <cell r="F16">
            <v>865609</v>
          </cell>
          <cell r="G16">
            <v>20</v>
          </cell>
          <cell r="H16">
            <v>0</v>
          </cell>
        </row>
        <row r="17">
          <cell r="E17">
            <v>2741105.2699999996</v>
          </cell>
          <cell r="F17">
            <v>0</v>
          </cell>
          <cell r="G17">
            <v>0</v>
          </cell>
          <cell r="H17">
            <v>8930.0400000000009</v>
          </cell>
        </row>
        <row r="18">
          <cell r="E18">
            <v>94544.89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115033.92134100001</v>
          </cell>
          <cell r="F19">
            <v>241879.96062599999</v>
          </cell>
          <cell r="G19">
            <v>79239.624541000012</v>
          </cell>
          <cell r="H19">
            <v>11275.203492000001</v>
          </cell>
          <cell r="I19">
            <v>0</v>
          </cell>
        </row>
        <row r="22">
          <cell r="I22">
            <v>-3710259.1999999997</v>
          </cell>
        </row>
        <row r="24">
          <cell r="D24" t="str">
            <v>Exception Payments Returned Funds to SP Prior Periods</v>
          </cell>
          <cell r="E24">
            <v>117159.105046</v>
          </cell>
          <cell r="F24">
            <v>198585.225756</v>
          </cell>
          <cell r="G24">
            <v>65056.314246000002</v>
          </cell>
          <cell r="H24">
            <v>9257.0249519999998</v>
          </cell>
        </row>
        <row r="25">
          <cell r="D25" t="str">
            <v>Returned funds-Prior Period</v>
          </cell>
          <cell r="E25">
            <v>29405.23</v>
          </cell>
          <cell r="F25">
            <v>0</v>
          </cell>
          <cell r="G25">
            <v>0</v>
          </cell>
          <cell r="H25">
            <v>0</v>
          </cell>
        </row>
        <row r="26">
          <cell r="D26" t="str">
            <v>USF-USAC Transfer Prior Period</v>
          </cell>
          <cell r="E26">
            <v>2748.1264740000001</v>
          </cell>
          <cell r="F26">
            <v>5778.4409640000003</v>
          </cell>
          <cell r="G26">
            <v>1893.0112740000002</v>
          </cell>
          <cell r="H26">
            <v>269.361288</v>
          </cell>
        </row>
        <row r="27">
          <cell r="D27" t="str">
            <v>Legal Settlement - Enforcement Returned Funds</v>
          </cell>
          <cell r="E27">
            <v>1055.83</v>
          </cell>
          <cell r="F27">
            <v>0</v>
          </cell>
          <cell r="G27">
            <v>0</v>
          </cell>
          <cell r="H27">
            <v>0</v>
          </cell>
        </row>
        <row r="30">
          <cell r="I30">
            <v>-431207.67</v>
          </cell>
        </row>
        <row r="33">
          <cell r="E33">
            <v>-26314955.049999997</v>
          </cell>
          <cell r="F33">
            <v>-2279633.7400000002</v>
          </cell>
          <cell r="G33">
            <v>-492394</v>
          </cell>
          <cell r="H33">
            <v>-1454611.51</v>
          </cell>
        </row>
        <row r="34">
          <cell r="E34">
            <v>-520</v>
          </cell>
          <cell r="F34">
            <v>-21331</v>
          </cell>
          <cell r="G34">
            <v>-291</v>
          </cell>
          <cell r="H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E36">
            <v>-82822.8</v>
          </cell>
          <cell r="F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40">
          <cell r="E40">
            <v>-148293830.97999999</v>
          </cell>
          <cell r="F40">
            <v>-336900840.95999998</v>
          </cell>
          <cell r="G40">
            <v>-110105387.64</v>
          </cell>
          <cell r="H40">
            <v>-2842949.0300000003</v>
          </cell>
        </row>
        <row r="41">
          <cell r="E41">
            <v>-514032.77</v>
          </cell>
          <cell r="F41">
            <v>-343492.11</v>
          </cell>
          <cell r="G41">
            <v>-262475.87</v>
          </cell>
          <cell r="H41">
            <v>0</v>
          </cell>
        </row>
        <row r="42">
          <cell r="E42">
            <v>-173.65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-729014.81</v>
          </cell>
          <cell r="F43">
            <v>0</v>
          </cell>
          <cell r="G43">
            <v>0</v>
          </cell>
          <cell r="H43">
            <v>-760.39</v>
          </cell>
        </row>
        <row r="44">
          <cell r="E44">
            <v>-89885.574288000003</v>
          </cell>
          <cell r="F44">
            <v>-189000.93916800001</v>
          </cell>
          <cell r="G44">
            <v>-61916.511888000008</v>
          </cell>
          <cell r="H44">
            <v>-8810.254656000001</v>
          </cell>
        </row>
        <row r="47">
          <cell r="E47">
            <v>181066.37</v>
          </cell>
          <cell r="F47">
            <v>0</v>
          </cell>
          <cell r="G47">
            <v>0</v>
          </cell>
          <cell r="H47">
            <v>0</v>
          </cell>
        </row>
        <row r="48">
          <cell r="E48">
            <v>152593.26</v>
          </cell>
          <cell r="F48">
            <v>0</v>
          </cell>
          <cell r="G48">
            <v>27469</v>
          </cell>
          <cell r="H48">
            <v>552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5">
          <cell r="E55">
            <v>486726.9200000001</v>
          </cell>
          <cell r="F55">
            <v>0</v>
          </cell>
          <cell r="G55">
            <v>1665</v>
          </cell>
          <cell r="H55">
            <v>0</v>
          </cell>
        </row>
        <row r="57">
          <cell r="E57">
            <v>-2788.9076759999998</v>
          </cell>
          <cell r="F57">
            <v>-5864.1909359999991</v>
          </cell>
          <cell r="G57">
            <v>-1921.1028759999999</v>
          </cell>
          <cell r="H57">
            <v>-273.35851199999996</v>
          </cell>
        </row>
        <row r="67">
          <cell r="D67" t="str">
            <v>Admin Transfer to USAC</v>
          </cell>
          <cell r="E67">
            <v>-2571000</v>
          </cell>
          <cell r="F67">
            <v>-5406000</v>
          </cell>
          <cell r="G67">
            <v>-1771000</v>
          </cell>
          <cell r="H67">
            <v>-252000</v>
          </cell>
        </row>
        <row r="68">
          <cell r="D68" t="str">
            <v>Rounding Adjustment</v>
          </cell>
        </row>
        <row r="73">
          <cell r="E73">
            <v>-10847629.610000001</v>
          </cell>
          <cell r="F73">
            <v>-102215.03999999999</v>
          </cell>
          <cell r="G73">
            <v>-56013.340000000004</v>
          </cell>
          <cell r="H73">
            <v>-2126115.7099999995</v>
          </cell>
        </row>
        <row r="74">
          <cell r="E74">
            <v>3376230.4382699998</v>
          </cell>
          <cell r="F74">
            <v>7099144.9822199997</v>
          </cell>
          <cell r="G74">
            <v>2325672.5422700001</v>
          </cell>
          <cell r="H74">
            <v>330925.73723999999</v>
          </cell>
        </row>
        <row r="78">
          <cell r="E78">
            <v>779028.05929166358</v>
          </cell>
          <cell r="F78">
            <v>15440.875754334211</v>
          </cell>
          <cell r="G78">
            <v>14801.968882521274</v>
          </cell>
          <cell r="H78">
            <v>92183.086071501442</v>
          </cell>
        </row>
        <row r="82">
          <cell r="E82">
            <v>-150796.06490815562</v>
          </cell>
          <cell r="F82">
            <v>-2988.8824602883783</v>
          </cell>
          <cell r="G82">
            <v>-2865.2095823181394</v>
          </cell>
          <cell r="H82">
            <v>-17843.833049237874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6">
          <cell r="E96">
            <v>-152753281.25</v>
          </cell>
        </row>
        <row r="100">
          <cell r="E100">
            <v>4950247750.3397083</v>
          </cell>
          <cell r="F100">
            <v>102307165.38208178</v>
          </cell>
          <cell r="G100">
            <v>81208233.74170512</v>
          </cell>
          <cell r="H100">
            <v>456841780.39650649</v>
          </cell>
          <cell r="I100">
            <v>118522.8800000003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1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2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7" zoomScale="74" zoomScaleNormal="74" workbookViewId="0">
      <selection activeCell="B42" sqref="B42"/>
    </sheetView>
  </sheetViews>
  <sheetFormatPr defaultRowHeight="15.6" x14ac:dyDescent="0.3"/>
  <cols>
    <col min="1" max="1" width="29.109375" style="376" bestFit="1" customWidth="1"/>
    <col min="2" max="2" width="26.33203125" style="375" bestFit="1" customWidth="1"/>
    <col min="3" max="6" width="23.6640625" style="375" customWidth="1"/>
    <col min="7" max="7" width="25.5546875" style="375" bestFit="1" customWidth="1"/>
  </cols>
  <sheetData>
    <row r="1" spans="1:7" x14ac:dyDescent="0.3">
      <c r="A1" s="602" t="s">
        <v>310</v>
      </c>
      <c r="B1" s="602"/>
      <c r="C1" s="602"/>
      <c r="D1" s="602"/>
      <c r="E1" s="602"/>
      <c r="F1" s="602"/>
      <c r="G1" s="602"/>
    </row>
    <row r="2" spans="1:7" x14ac:dyDescent="0.3">
      <c r="A2" s="603">
        <v>2010</v>
      </c>
      <c r="B2" s="603"/>
      <c r="C2" s="603"/>
      <c r="D2" s="603"/>
      <c r="E2" s="603"/>
      <c r="F2" s="603"/>
      <c r="G2" s="603"/>
    </row>
    <row r="3" spans="1:7" x14ac:dyDescent="0.3">
      <c r="A3" s="602" t="s">
        <v>309</v>
      </c>
      <c r="B3" s="602"/>
      <c r="C3" s="602"/>
      <c r="D3" s="602"/>
      <c r="E3" s="602"/>
      <c r="F3" s="602"/>
      <c r="G3" s="602"/>
    </row>
    <row r="4" spans="1:7" x14ac:dyDescent="0.3">
      <c r="A4" s="374"/>
      <c r="B4" s="374"/>
      <c r="C4" s="374"/>
      <c r="D4" s="374"/>
      <c r="E4" s="374"/>
      <c r="F4" s="374"/>
      <c r="G4" s="374"/>
    </row>
    <row r="5" spans="1:7" x14ac:dyDescent="0.3">
      <c r="B5" s="393" t="s">
        <v>308</v>
      </c>
      <c r="C5" s="393" t="s">
        <v>307</v>
      </c>
      <c r="D5" s="393" t="s">
        <v>307</v>
      </c>
      <c r="E5" s="393" t="s">
        <v>306</v>
      </c>
      <c r="F5" s="393" t="s">
        <v>305</v>
      </c>
    </row>
    <row r="6" spans="1:7" x14ac:dyDescent="0.3">
      <c r="B6" s="392" t="s">
        <v>303</v>
      </c>
      <c r="C6" s="392" t="s">
        <v>303</v>
      </c>
      <c r="D6" s="392" t="s">
        <v>304</v>
      </c>
      <c r="E6" s="392" t="s">
        <v>303</v>
      </c>
      <c r="F6" s="392" t="s">
        <v>303</v>
      </c>
      <c r="G6" s="391" t="s">
        <v>6</v>
      </c>
    </row>
    <row r="8" spans="1:7" ht="16.2" thickBot="1" x14ac:dyDescent="0.35">
      <c r="A8" s="386" t="s">
        <v>302</v>
      </c>
      <c r="B8" s="390">
        <v>4943356547.3323927</v>
      </c>
      <c r="C8" s="390">
        <v>132956080.50110421</v>
      </c>
      <c r="D8" s="390"/>
      <c r="E8" s="390">
        <v>17405874.046492487</v>
      </c>
      <c r="F8" s="390">
        <v>395162710.30824906</v>
      </c>
      <c r="G8" s="390">
        <v>5488881212.1837234</v>
      </c>
    </row>
    <row r="9" spans="1:7" ht="16.2" thickTop="1" x14ac:dyDescent="0.3"/>
    <row r="11" spans="1:7" x14ac:dyDescent="0.3">
      <c r="A11" s="384" t="s">
        <v>214</v>
      </c>
    </row>
    <row r="12" spans="1:7" x14ac:dyDescent="0.3">
      <c r="A12" s="376" t="s">
        <v>297</v>
      </c>
      <c r="B12" s="383">
        <v>587004948.44755495</v>
      </c>
      <c r="C12" s="383">
        <v>1067218431.9723566</v>
      </c>
      <c r="D12" s="383"/>
      <c r="E12" s="383">
        <v>337201021.76590222</v>
      </c>
      <c r="F12" s="383">
        <v>55366097.994186103</v>
      </c>
      <c r="G12" s="383">
        <v>2046790500.1799998</v>
      </c>
    </row>
    <row r="13" spans="1:7" x14ac:dyDescent="0.3">
      <c r="A13" s="376" t="s">
        <v>13</v>
      </c>
      <c r="B13" s="382">
        <v>-386543910.83000004</v>
      </c>
      <c r="C13" s="382">
        <v>-1115232073.27</v>
      </c>
      <c r="D13" s="382"/>
      <c r="E13" s="382">
        <v>-299820443.98000002</v>
      </c>
      <c r="F13" s="382">
        <v>-14477769.09</v>
      </c>
      <c r="G13" s="382">
        <v>-1816074197.1699998</v>
      </c>
    </row>
    <row r="14" spans="1:7" x14ac:dyDescent="0.3">
      <c r="A14" s="376" t="s">
        <v>296</v>
      </c>
      <c r="B14" s="382">
        <v>-8617780</v>
      </c>
      <c r="C14" s="382">
        <v>-15642740</v>
      </c>
      <c r="D14" s="382"/>
      <c r="E14" s="382">
        <v>-4928320</v>
      </c>
      <c r="F14" s="382">
        <v>-811160</v>
      </c>
      <c r="G14" s="382">
        <v>-30000000</v>
      </c>
    </row>
    <row r="15" spans="1:7" x14ac:dyDescent="0.3">
      <c r="A15" s="376" t="s">
        <v>295</v>
      </c>
      <c r="B15" s="382">
        <v>5087285.2783252988</v>
      </c>
      <c r="C15" s="382">
        <v>127866.28226969314</v>
      </c>
      <c r="D15" s="382"/>
      <c r="E15" s="382">
        <v>34540.36580636094</v>
      </c>
      <c r="F15" s="382">
        <v>494906.23359865311</v>
      </c>
      <c r="G15" s="382">
        <v>5744598.1600000057</v>
      </c>
    </row>
    <row r="16" spans="1:7" x14ac:dyDescent="0.3">
      <c r="A16" s="376" t="s">
        <v>294</v>
      </c>
      <c r="B16" s="382">
        <v>-5400825.9852071302</v>
      </c>
      <c r="C16" s="382">
        <v>-10204249.15197129</v>
      </c>
      <c r="D16" s="382"/>
      <c r="E16" s="382">
        <v>-3310463.9087197199</v>
      </c>
      <c r="F16" s="382">
        <v>-531620.77410186012</v>
      </c>
      <c r="G16" s="382">
        <v>-19447159.82</v>
      </c>
    </row>
    <row r="17" spans="1:7" x14ac:dyDescent="0.3">
      <c r="A17" s="376" t="s">
        <v>293</v>
      </c>
      <c r="B17" s="382">
        <v>1107660.2400000002</v>
      </c>
      <c r="C17" s="382">
        <v>1718819.4</v>
      </c>
      <c r="D17" s="382"/>
      <c r="E17" s="382">
        <v>4425</v>
      </c>
      <c r="F17" s="382">
        <v>8151.7800000000007</v>
      </c>
      <c r="G17" s="382">
        <v>2839056.42</v>
      </c>
    </row>
    <row r="18" spans="1:7" ht="16.2" thickBot="1" x14ac:dyDescent="0.35">
      <c r="A18" s="386" t="s">
        <v>301</v>
      </c>
      <c r="B18" s="380">
        <v>5135993924.4830647</v>
      </c>
      <c r="C18" s="380">
        <v>60942135.73375909</v>
      </c>
      <c r="D18" s="380"/>
      <c r="E18" s="380">
        <v>46586633.289481364</v>
      </c>
      <c r="F18" s="380">
        <v>435211316.45193195</v>
      </c>
      <c r="G18" s="380">
        <v>5678734009.9537239</v>
      </c>
    </row>
    <row r="19" spans="1:7" ht="16.2" thickTop="1" x14ac:dyDescent="0.3">
      <c r="B19" s="379"/>
      <c r="C19" s="379"/>
      <c r="D19" s="379"/>
      <c r="E19" s="379"/>
      <c r="F19" s="379"/>
      <c r="G19" s="379"/>
    </row>
    <row r="20" spans="1:7" x14ac:dyDescent="0.3">
      <c r="B20" s="379"/>
      <c r="C20" s="379"/>
      <c r="D20" s="379"/>
      <c r="E20" s="379"/>
      <c r="F20" s="379"/>
      <c r="G20" s="379"/>
    </row>
    <row r="21" spans="1:7" x14ac:dyDescent="0.3">
      <c r="A21" s="384" t="s">
        <v>215</v>
      </c>
      <c r="B21" s="379"/>
      <c r="C21" s="379"/>
      <c r="D21" s="379"/>
      <c r="E21" s="379"/>
      <c r="F21" s="379"/>
      <c r="G21" s="379"/>
    </row>
    <row r="22" spans="1:7" x14ac:dyDescent="0.3">
      <c r="A22" s="376" t="s">
        <v>297</v>
      </c>
      <c r="B22" s="383">
        <v>581490996.73009181</v>
      </c>
      <c r="C22" s="383">
        <v>1172098146.7015703</v>
      </c>
      <c r="D22" s="383"/>
      <c r="E22" s="383">
        <v>382823237.8692739</v>
      </c>
      <c r="F22" s="383">
        <v>56629275.589063935</v>
      </c>
      <c r="G22" s="383">
        <v>2193041656.8899999</v>
      </c>
    </row>
    <row r="23" spans="1:7" x14ac:dyDescent="0.3">
      <c r="A23" s="376" t="s">
        <v>13</v>
      </c>
      <c r="B23" s="382">
        <v>-599288252.30478311</v>
      </c>
      <c r="C23" s="382">
        <v>-1047813393.7533071</v>
      </c>
      <c r="D23" s="382"/>
      <c r="E23" s="382">
        <v>-318076672.46434402</v>
      </c>
      <c r="F23" s="382">
        <v>-31038102.667566009</v>
      </c>
      <c r="G23" s="382">
        <v>-1996216421.1900003</v>
      </c>
    </row>
    <row r="24" spans="1:7" x14ac:dyDescent="0.3">
      <c r="A24" s="376" t="s">
        <v>296</v>
      </c>
      <c r="B24" s="382">
        <v>-6680890</v>
      </c>
      <c r="C24" s="382">
        <v>-13321870</v>
      </c>
      <c r="D24" s="382"/>
      <c r="E24" s="382">
        <v>-4347660</v>
      </c>
      <c r="F24" s="382">
        <v>-649580</v>
      </c>
      <c r="G24" s="382">
        <v>-25000000</v>
      </c>
    </row>
    <row r="25" spans="1:7" x14ac:dyDescent="0.3">
      <c r="A25" s="376" t="s">
        <v>295</v>
      </c>
      <c r="B25" s="382">
        <v>4975689.8679585671</v>
      </c>
      <c r="C25" s="382">
        <v>109251.82496158619</v>
      </c>
      <c r="D25" s="382"/>
      <c r="E25" s="382">
        <v>97449.037121928151</v>
      </c>
      <c r="F25" s="382">
        <v>585162.82995793258</v>
      </c>
      <c r="G25" s="382">
        <v>5767553.5600000136</v>
      </c>
    </row>
    <row r="26" spans="1:7" x14ac:dyDescent="0.3">
      <c r="A26" s="376" t="s">
        <v>294</v>
      </c>
      <c r="B26" s="382">
        <v>-355069.87382500002</v>
      </c>
      <c r="C26" s="382">
        <v>-1064230.9714500001</v>
      </c>
      <c r="D26" s="382"/>
      <c r="E26" s="382">
        <v>-348640.96382500004</v>
      </c>
      <c r="F26" s="382">
        <v>-49608.990900000004</v>
      </c>
      <c r="G26" s="382">
        <v>-1817550.8000000003</v>
      </c>
    </row>
    <row r="27" spans="1:7" x14ac:dyDescent="0.3">
      <c r="A27" s="376" t="s">
        <v>293</v>
      </c>
      <c r="B27" s="382">
        <v>8151712.3799999999</v>
      </c>
      <c r="C27" s="382">
        <v>2425087</v>
      </c>
      <c r="D27" s="382"/>
      <c r="E27" s="382">
        <v>218522</v>
      </c>
      <c r="F27" s="382">
        <v>27442.04</v>
      </c>
      <c r="G27" s="382">
        <v>10822763.419999998</v>
      </c>
    </row>
    <row r="28" spans="1:7" ht="16.2" thickBot="1" x14ac:dyDescent="0.35">
      <c r="A28" s="386" t="s">
        <v>300</v>
      </c>
      <c r="B28" s="380">
        <v>5124288111.2825079</v>
      </c>
      <c r="C28" s="380">
        <v>173375126.53553391</v>
      </c>
      <c r="D28" s="380"/>
      <c r="E28" s="380">
        <v>106952868.76770814</v>
      </c>
      <c r="F28" s="380">
        <v>460715905.2524879</v>
      </c>
      <c r="G28" s="380">
        <v>5865332011.8337231</v>
      </c>
    </row>
    <row r="29" spans="1:7" ht="16.2" thickTop="1" x14ac:dyDescent="0.3">
      <c r="B29" s="389"/>
      <c r="C29" s="389"/>
      <c r="D29" s="389"/>
      <c r="E29" s="389"/>
      <c r="F29" s="389"/>
      <c r="G29" s="389"/>
    </row>
    <row r="30" spans="1:7" x14ac:dyDescent="0.3">
      <c r="B30" s="388"/>
      <c r="C30" s="388"/>
      <c r="D30" s="388"/>
      <c r="E30" s="388"/>
      <c r="F30" s="388"/>
      <c r="G30" s="388"/>
    </row>
    <row r="31" spans="1:7" x14ac:dyDescent="0.3">
      <c r="A31" s="384" t="s">
        <v>216</v>
      </c>
      <c r="B31" s="379"/>
      <c r="C31" s="379"/>
      <c r="D31" s="379"/>
      <c r="E31" s="379"/>
      <c r="F31" s="379"/>
      <c r="G31" s="379"/>
    </row>
    <row r="32" spans="1:7" x14ac:dyDescent="0.3">
      <c r="A32" s="376" t="s">
        <v>297</v>
      </c>
      <c r="B32" s="383">
        <v>550391913.07830226</v>
      </c>
      <c r="C32" s="383">
        <v>1139242352.486563</v>
      </c>
      <c r="D32" s="383"/>
      <c r="E32" s="383">
        <v>355486965.77019012</v>
      </c>
      <c r="F32" s="383">
        <v>41507101.767945006</v>
      </c>
      <c r="G32" s="383">
        <v>2086628333.1030004</v>
      </c>
    </row>
    <row r="33" spans="1:7" x14ac:dyDescent="0.3">
      <c r="A33" s="376" t="s">
        <v>13</v>
      </c>
      <c r="B33" s="382">
        <v>-580447341.14999998</v>
      </c>
      <c r="C33" s="382">
        <v>-1169141346.3399999</v>
      </c>
      <c r="D33" s="382"/>
      <c r="E33" s="382">
        <v>-317278805.57999998</v>
      </c>
      <c r="F33" s="382">
        <v>-46255156.399999991</v>
      </c>
      <c r="G33" s="382">
        <v>-2113122649.4699998</v>
      </c>
    </row>
    <row r="34" spans="1:7" x14ac:dyDescent="0.3">
      <c r="A34" s="376" t="s">
        <v>296</v>
      </c>
      <c r="B34" s="382">
        <v>-5393086.8001950001</v>
      </c>
      <c r="C34" s="382">
        <v>-11184677.130045</v>
      </c>
      <c r="D34" s="382"/>
      <c r="E34" s="382">
        <v>-3511582.9595659999</v>
      </c>
      <c r="F34" s="382">
        <v>-421551.850194</v>
      </c>
      <c r="G34" s="382">
        <v>-20510898.740000002</v>
      </c>
    </row>
    <row r="35" spans="1:7" x14ac:dyDescent="0.3">
      <c r="A35" s="376" t="s">
        <v>295</v>
      </c>
      <c r="B35" s="382">
        <v>2440213.8819442615</v>
      </c>
      <c r="C35" s="382">
        <v>101085.89017029748</v>
      </c>
      <c r="D35" s="382"/>
      <c r="E35" s="382">
        <v>82515.576187565661</v>
      </c>
      <c r="F35" s="382">
        <v>297223.94169786386</v>
      </c>
      <c r="G35" s="382">
        <v>2921039.2899999884</v>
      </c>
    </row>
    <row r="36" spans="1:7" x14ac:dyDescent="0.3">
      <c r="A36" s="376" t="s">
        <v>294</v>
      </c>
      <c r="B36" s="382">
        <v>-325687.67284200003</v>
      </c>
      <c r="C36" s="382">
        <v>-668548.85423700011</v>
      </c>
      <c r="D36" s="382"/>
      <c r="E36" s="382">
        <v>-203037.15431099996</v>
      </c>
      <c r="F36" s="382">
        <v>-20705.648610000004</v>
      </c>
      <c r="G36" s="382">
        <v>-1217979.33</v>
      </c>
    </row>
    <row r="37" spans="1:7" x14ac:dyDescent="0.3">
      <c r="A37" s="376" t="s">
        <v>293</v>
      </c>
      <c r="B37" s="382">
        <v>3962165.0787680009</v>
      </c>
      <c r="C37" s="382">
        <v>2022972.590848</v>
      </c>
      <c r="D37" s="382"/>
      <c r="E37" s="382">
        <v>11570.658943999999</v>
      </c>
      <c r="F37" s="382">
        <v>68947.271439999997</v>
      </c>
      <c r="G37" s="382">
        <v>6065655.6000000006</v>
      </c>
    </row>
    <row r="38" spans="1:7" ht="16.2" thickBot="1" x14ac:dyDescent="0.35">
      <c r="A38" s="386" t="s">
        <v>299</v>
      </c>
      <c r="B38" s="380">
        <v>5094916287.6984863</v>
      </c>
      <c r="C38" s="380">
        <v>133746965.17883325</v>
      </c>
      <c r="D38" s="380"/>
      <c r="E38" s="380">
        <v>141540495.07915282</v>
      </c>
      <c r="F38" s="380">
        <v>455891764.33476681</v>
      </c>
      <c r="G38" s="380">
        <v>5826095512.286725</v>
      </c>
    </row>
    <row r="39" spans="1:7" ht="16.2" thickTop="1" x14ac:dyDescent="0.3">
      <c r="A39" s="386"/>
      <c r="B39" s="387"/>
      <c r="C39" s="387"/>
      <c r="D39" s="387"/>
      <c r="E39" s="387"/>
      <c r="F39" s="387"/>
      <c r="G39" s="387"/>
    </row>
    <row r="40" spans="1:7" x14ac:dyDescent="0.3">
      <c r="B40" s="379"/>
      <c r="C40" s="379"/>
      <c r="D40" s="379"/>
      <c r="E40" s="379"/>
      <c r="F40" s="379"/>
      <c r="G40" s="379"/>
    </row>
    <row r="41" spans="1:7" x14ac:dyDescent="0.3">
      <c r="A41" s="384" t="s">
        <v>217</v>
      </c>
      <c r="B41" s="379"/>
      <c r="C41" s="379"/>
      <c r="D41" s="379"/>
      <c r="E41" s="379"/>
      <c r="F41" s="379"/>
      <c r="G41" s="379"/>
    </row>
    <row r="42" spans="1:7" x14ac:dyDescent="0.3">
      <c r="A42" s="376" t="s">
        <v>297</v>
      </c>
      <c r="B42" s="383">
        <v>546175753.98830414</v>
      </c>
      <c r="C42" s="383">
        <v>1067500441.423589</v>
      </c>
      <c r="D42" s="383">
        <v>23004914</v>
      </c>
      <c r="E42" s="383">
        <v>318408880.22778499</v>
      </c>
      <c r="F42" s="383">
        <v>22149529.830322001</v>
      </c>
      <c r="G42" s="383">
        <v>1977239519.47</v>
      </c>
    </row>
    <row r="43" spans="1:7" x14ac:dyDescent="0.3">
      <c r="A43" s="376" t="s">
        <v>13</v>
      </c>
      <c r="B43" s="382">
        <v>-718458466.61300004</v>
      </c>
      <c r="C43" s="382">
        <v>-1080096679.8599999</v>
      </c>
      <c r="D43" s="382">
        <v>0</v>
      </c>
      <c r="E43" s="382">
        <v>-440213269.75</v>
      </c>
      <c r="F43" s="382">
        <v>-18077075.149999999</v>
      </c>
      <c r="G43" s="383">
        <v>-2256845491.3730001</v>
      </c>
    </row>
    <row r="44" spans="1:7" x14ac:dyDescent="0.3">
      <c r="A44" s="376" t="s">
        <v>296</v>
      </c>
      <c r="B44" s="382">
        <v>-5732493.6737820003</v>
      </c>
      <c r="C44" s="382">
        <v>-11471443.966372</v>
      </c>
      <c r="D44" s="382">
        <v>0</v>
      </c>
      <c r="E44" s="382">
        <v>-3360537.1619259999</v>
      </c>
      <c r="F44" s="382">
        <v>-243073.77791999999</v>
      </c>
      <c r="G44" s="383">
        <v>-20807548.580000002</v>
      </c>
    </row>
    <row r="45" spans="1:7" x14ac:dyDescent="0.3">
      <c r="A45" s="376" t="s">
        <v>295</v>
      </c>
      <c r="B45" s="382">
        <v>3443539.6357289995</v>
      </c>
      <c r="C45" s="382">
        <v>112943.94915061112</v>
      </c>
      <c r="D45" s="382">
        <v>0</v>
      </c>
      <c r="E45" s="382">
        <v>144084.27840001616</v>
      </c>
      <c r="F45" s="382">
        <v>494789.99672031117</v>
      </c>
      <c r="G45" s="383">
        <v>4195357.8599999379</v>
      </c>
    </row>
    <row r="46" spans="1:7" x14ac:dyDescent="0.3">
      <c r="A46" s="376" t="s">
        <v>294</v>
      </c>
      <c r="B46" s="382">
        <v>-13674823.715850001</v>
      </c>
      <c r="C46" s="382">
        <v>-26949884.314160001</v>
      </c>
      <c r="D46" s="382">
        <v>0</v>
      </c>
      <c r="E46" s="382">
        <v>-7717378.2325100005</v>
      </c>
      <c r="F46" s="382">
        <v>-409513.43747999996</v>
      </c>
      <c r="G46" s="383">
        <v>-48751599.700000003</v>
      </c>
    </row>
    <row r="47" spans="1:7" x14ac:dyDescent="0.3">
      <c r="A47" s="376" t="s">
        <v>293</v>
      </c>
      <c r="B47" s="382">
        <v>3353938.5143360002</v>
      </c>
      <c r="C47" s="382">
        <v>1354663.6510089999</v>
      </c>
      <c r="D47" s="382">
        <v>0</v>
      </c>
      <c r="E47" s="382">
        <v>78193187.968621001</v>
      </c>
      <c r="F47" s="382">
        <v>25492.936033999998</v>
      </c>
      <c r="G47" s="383">
        <v>82927283.069999993</v>
      </c>
    </row>
    <row r="48" spans="1:7" ht="16.2" thickBot="1" x14ac:dyDescent="0.35">
      <c r="A48" s="386" t="s">
        <v>298</v>
      </c>
      <c r="B48" s="380">
        <v>4910023735.8342228</v>
      </c>
      <c r="C48" s="380">
        <v>84197006.06204994</v>
      </c>
      <c r="D48" s="380">
        <v>23004914</v>
      </c>
      <c r="E48" s="380">
        <v>86995462.409522831</v>
      </c>
      <c r="F48" s="380">
        <v>459831914.73244321</v>
      </c>
      <c r="G48" s="380">
        <v>5564053033.0382385</v>
      </c>
    </row>
    <row r="49" spans="1:7" ht="16.2" thickTop="1" x14ac:dyDescent="0.3">
      <c r="A49" s="386"/>
      <c r="B49" s="385"/>
      <c r="C49" s="385"/>
      <c r="D49" s="385"/>
      <c r="E49" s="385"/>
      <c r="F49" s="385"/>
      <c r="G49" s="385"/>
    </row>
    <row r="50" spans="1:7" x14ac:dyDescent="0.3">
      <c r="B50" s="379"/>
      <c r="C50" s="379"/>
      <c r="D50" s="379"/>
      <c r="E50" s="379"/>
      <c r="F50" s="379"/>
      <c r="G50" s="379"/>
    </row>
    <row r="51" spans="1:7" x14ac:dyDescent="0.3">
      <c r="A51" s="384" t="s">
        <v>218</v>
      </c>
      <c r="B51" s="379"/>
      <c r="C51" s="379"/>
      <c r="D51" s="379"/>
      <c r="E51" s="379"/>
      <c r="F51" s="379"/>
      <c r="G51" s="379"/>
    </row>
    <row r="52" spans="1:7" x14ac:dyDescent="0.3">
      <c r="A52" s="376" t="s">
        <v>297</v>
      </c>
      <c r="B52" s="383">
        <v>2265063612.2442532</v>
      </c>
      <c r="C52" s="383">
        <v>4446059372.5840788</v>
      </c>
      <c r="D52" s="383">
        <v>23004914</v>
      </c>
      <c r="E52" s="383">
        <v>1393920105.6331515</v>
      </c>
      <c r="F52" s="383">
        <v>175652005.18151703</v>
      </c>
      <c r="G52" s="383">
        <v>8303700009.6429996</v>
      </c>
    </row>
    <row r="53" spans="1:7" x14ac:dyDescent="0.3">
      <c r="A53" s="376" t="s">
        <v>13</v>
      </c>
      <c r="B53" s="382">
        <v>-2284737970.8977833</v>
      </c>
      <c r="C53" s="382">
        <v>-4412283493.2233067</v>
      </c>
      <c r="D53" s="382">
        <v>0</v>
      </c>
      <c r="E53" s="382">
        <v>-1375389191.774344</v>
      </c>
      <c r="F53" s="382">
        <v>-109848103.30756599</v>
      </c>
      <c r="G53" s="382">
        <v>-8182258759.2029991</v>
      </c>
    </row>
    <row r="54" spans="1:7" x14ac:dyDescent="0.3">
      <c r="A54" s="376" t="s">
        <v>296</v>
      </c>
      <c r="B54" s="382">
        <v>-26424250.473977</v>
      </c>
      <c r="C54" s="382">
        <v>-51620731.096416995</v>
      </c>
      <c r="D54" s="382">
        <v>0</v>
      </c>
      <c r="E54" s="382">
        <v>-16148100.121492</v>
      </c>
      <c r="F54" s="382">
        <v>-2125365.628114</v>
      </c>
      <c r="G54" s="382">
        <v>-96318447.319999993</v>
      </c>
    </row>
    <row r="55" spans="1:7" x14ac:dyDescent="0.3">
      <c r="A55" s="376" t="s">
        <v>295</v>
      </c>
      <c r="B55" s="382">
        <v>15946728.663957126</v>
      </c>
      <c r="C55" s="382">
        <v>451147.9465521879</v>
      </c>
      <c r="D55" s="382">
        <v>0</v>
      </c>
      <c r="E55" s="382">
        <v>358589.25751587091</v>
      </c>
      <c r="F55" s="382">
        <v>1872083.0019747608</v>
      </c>
      <c r="G55" s="382">
        <v>18628548.869999945</v>
      </c>
    </row>
    <row r="56" spans="1:7" x14ac:dyDescent="0.3">
      <c r="A56" s="376" t="s">
        <v>294</v>
      </c>
      <c r="B56" s="382">
        <v>-19756407.247724131</v>
      </c>
      <c r="C56" s="382">
        <v>-38886913.291818291</v>
      </c>
      <c r="D56" s="382">
        <v>0</v>
      </c>
      <c r="E56" s="382">
        <v>-11579520.259365721</v>
      </c>
      <c r="F56" s="382">
        <v>-1011448.8510918601</v>
      </c>
      <c r="G56" s="382">
        <v>-71234289.650000006</v>
      </c>
    </row>
    <row r="57" spans="1:7" x14ac:dyDescent="0.3">
      <c r="A57" s="376" t="s">
        <v>293</v>
      </c>
      <c r="B57" s="382">
        <v>16575476.213104002</v>
      </c>
      <c r="C57" s="382">
        <v>7521542.6418570001</v>
      </c>
      <c r="D57" s="382">
        <v>0</v>
      </c>
      <c r="E57" s="382">
        <v>78427705.627564996</v>
      </c>
      <c r="F57" s="382">
        <v>130034.02747399999</v>
      </c>
      <c r="G57" s="382">
        <v>102654758.51000001</v>
      </c>
    </row>
    <row r="58" spans="1:7" ht="16.2" thickBot="1" x14ac:dyDescent="0.35">
      <c r="A58" s="381" t="s">
        <v>292</v>
      </c>
      <c r="B58" s="380">
        <v>4910023735.8342228</v>
      </c>
      <c r="C58" s="380">
        <v>84197006.062050387</v>
      </c>
      <c r="D58" s="380">
        <v>23004914</v>
      </c>
      <c r="E58" s="380">
        <v>86995462.409523293</v>
      </c>
      <c r="F58" s="380">
        <v>459831914.73244303</v>
      </c>
      <c r="G58" s="380">
        <v>5564053033.0337248</v>
      </c>
    </row>
    <row r="59" spans="1:7" ht="16.2" thickTop="1" x14ac:dyDescent="0.3">
      <c r="B59" s="379"/>
      <c r="C59" s="379"/>
      <c r="D59" s="379"/>
      <c r="E59" s="379"/>
      <c r="F59" s="379"/>
      <c r="G59" s="379"/>
    </row>
    <row r="60" spans="1:7" x14ac:dyDescent="0.3">
      <c r="A60" s="378" t="s">
        <v>291</v>
      </c>
      <c r="B60" s="377">
        <v>0.27923071588612658</v>
      </c>
      <c r="C60" s="377">
        <v>0.53925005589203456</v>
      </c>
      <c r="D60" s="377"/>
      <c r="E60" s="377">
        <v>0.16809407185117123</v>
      </c>
      <c r="F60" s="377">
        <v>1.3425156370667731E-2</v>
      </c>
      <c r="G60" s="377">
        <v>1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0" activePane="bottomLeft" state="frozenSplit"/>
      <selection pane="bottomLeft" activeCell="G83" sqref="G83"/>
    </sheetView>
  </sheetViews>
  <sheetFormatPr defaultColWidth="9.109375" defaultRowHeight="13.2" x14ac:dyDescent="0.25"/>
  <cols>
    <col min="1" max="1" width="30.6640625" style="475" customWidth="1"/>
    <col min="2" max="2" width="33.6640625" style="475" customWidth="1"/>
    <col min="3" max="5" width="22.6640625" style="486" customWidth="1"/>
    <col min="6" max="16384" width="9.109375" style="475"/>
  </cols>
  <sheetData>
    <row r="1" spans="1:5" x14ac:dyDescent="0.25">
      <c r="C1" s="476" t="s">
        <v>53</v>
      </c>
      <c r="D1" s="477"/>
      <c r="E1" s="477"/>
    </row>
    <row r="2" spans="1:5" x14ac:dyDescent="0.25">
      <c r="C2" s="478" t="s">
        <v>86</v>
      </c>
      <c r="D2" s="479"/>
      <c r="E2" s="479"/>
    </row>
    <row r="3" spans="1:5" x14ac:dyDescent="0.25">
      <c r="C3" s="476" t="s">
        <v>361</v>
      </c>
      <c r="D3" s="477"/>
      <c r="E3" s="477"/>
    </row>
    <row r="4" spans="1:5" x14ac:dyDescent="0.25">
      <c r="C4" s="476" t="s">
        <v>88</v>
      </c>
      <c r="D4" s="477"/>
      <c r="E4" s="477"/>
    </row>
    <row r="5" spans="1:5" x14ac:dyDescent="0.25">
      <c r="C5" s="480" t="s">
        <v>364</v>
      </c>
      <c r="D5" s="481"/>
      <c r="E5" s="481"/>
    </row>
    <row r="7" spans="1:5" x14ac:dyDescent="0.25">
      <c r="B7" s="482" t="s">
        <v>30</v>
      </c>
      <c r="C7" s="483" t="s">
        <v>90</v>
      </c>
      <c r="D7" s="483" t="s">
        <v>185</v>
      </c>
      <c r="E7" s="483" t="s">
        <v>92</v>
      </c>
    </row>
    <row r="9" spans="1:5" x14ac:dyDescent="0.25">
      <c r="A9" s="484" t="s">
        <v>93</v>
      </c>
      <c r="B9" s="484" t="s">
        <v>34</v>
      </c>
      <c r="C9" s="485">
        <v>1379793563.6800001</v>
      </c>
      <c r="D9" s="485">
        <v>207173145.03</v>
      </c>
      <c r="E9" s="485">
        <v>1586966708.71</v>
      </c>
    </row>
    <row r="10" spans="1:5" x14ac:dyDescent="0.25">
      <c r="A10" s="484" t="s">
        <v>94</v>
      </c>
      <c r="B10" s="484" t="s">
        <v>35</v>
      </c>
      <c r="C10" s="486">
        <v>2667574595.75</v>
      </c>
      <c r="D10" s="486">
        <v>383403889.08999997</v>
      </c>
      <c r="E10" s="486">
        <v>3050978484.8400002</v>
      </c>
    </row>
    <row r="11" spans="1:5" x14ac:dyDescent="0.25">
      <c r="A11" s="484" t="s">
        <v>95</v>
      </c>
      <c r="B11" s="484" t="s">
        <v>36</v>
      </c>
      <c r="C11" s="486">
        <v>1402932798.4200001</v>
      </c>
      <c r="D11" s="486">
        <v>208966225.43000001</v>
      </c>
      <c r="E11" s="486">
        <v>1611899023.8499999</v>
      </c>
    </row>
    <row r="12" spans="1:5" x14ac:dyDescent="0.25">
      <c r="A12" s="484" t="s">
        <v>96</v>
      </c>
      <c r="B12" s="484" t="s">
        <v>37</v>
      </c>
      <c r="C12" s="486">
        <v>59891768.289999999</v>
      </c>
      <c r="D12" s="486">
        <v>12467195.439999999</v>
      </c>
      <c r="E12" s="486">
        <v>72358963.730000004</v>
      </c>
    </row>
    <row r="13" spans="1:5" x14ac:dyDescent="0.25">
      <c r="A13" s="484" t="s">
        <v>97</v>
      </c>
      <c r="B13" s="484" t="s">
        <v>38</v>
      </c>
      <c r="C13" s="486">
        <v>0</v>
      </c>
      <c r="D13" s="486">
        <v>0</v>
      </c>
      <c r="E13" s="486">
        <v>0</v>
      </c>
    </row>
    <row r="14" spans="1:5" x14ac:dyDescent="0.25">
      <c r="A14" s="487" t="s">
        <v>98</v>
      </c>
      <c r="B14" s="488"/>
      <c r="C14" s="489">
        <f>SUM(C9:C13)</f>
        <v>5510192726.1400003</v>
      </c>
      <c r="D14" s="489">
        <f>SUM(D9:D13)</f>
        <v>812010454.99000001</v>
      </c>
      <c r="E14" s="489">
        <f>SUM(E9:E13)</f>
        <v>6322203181.1299992</v>
      </c>
    </row>
    <row r="16" spans="1:5" x14ac:dyDescent="0.25">
      <c r="A16" s="484" t="s">
        <v>99</v>
      </c>
      <c r="B16" s="484" t="s">
        <v>100</v>
      </c>
      <c r="C16" s="486">
        <v>922479.41</v>
      </c>
      <c r="D16" s="486">
        <v>125004.67</v>
      </c>
      <c r="E16" s="486">
        <v>1047484.08</v>
      </c>
    </row>
    <row r="17" spans="1:5" x14ac:dyDescent="0.25">
      <c r="A17" s="484" t="s">
        <v>101</v>
      </c>
      <c r="B17" s="484" t="s">
        <v>102</v>
      </c>
      <c r="C17" s="486">
        <v>1783786.9</v>
      </c>
      <c r="D17" s="486">
        <v>231673.34</v>
      </c>
      <c r="E17" s="486">
        <v>2015460.24</v>
      </c>
    </row>
    <row r="18" spans="1:5" x14ac:dyDescent="0.25">
      <c r="A18" s="484" t="s">
        <v>103</v>
      </c>
      <c r="B18" s="484" t="s">
        <v>104</v>
      </c>
      <c r="C18" s="486">
        <v>1384721.1</v>
      </c>
      <c r="D18" s="486">
        <v>192724.41</v>
      </c>
      <c r="E18" s="486">
        <v>1577445.51</v>
      </c>
    </row>
    <row r="19" spans="1:5" x14ac:dyDescent="0.25">
      <c r="A19" s="484" t="s">
        <v>105</v>
      </c>
      <c r="B19" s="484" t="s">
        <v>106</v>
      </c>
      <c r="C19" s="486">
        <v>39446.879999999997</v>
      </c>
      <c r="D19" s="486">
        <v>7201.15</v>
      </c>
      <c r="E19" s="486">
        <v>46648.03</v>
      </c>
    </row>
    <row r="20" spans="1:5" x14ac:dyDescent="0.25">
      <c r="A20" s="487" t="s">
        <v>107</v>
      </c>
      <c r="B20" s="488"/>
      <c r="C20" s="489">
        <f>SUM(C16:C19)</f>
        <v>4130434.29</v>
      </c>
      <c r="D20" s="489">
        <f>SUM(D16:D19)</f>
        <v>556603.57000000007</v>
      </c>
      <c r="E20" s="489">
        <f>SUM(E16:E19)</f>
        <v>4687037.8600000003</v>
      </c>
    </row>
    <row r="22" spans="1:5" x14ac:dyDescent="0.25">
      <c r="A22" s="484" t="s">
        <v>108</v>
      </c>
      <c r="B22" s="484" t="s">
        <v>109</v>
      </c>
      <c r="C22" s="486">
        <v>-61801.71</v>
      </c>
      <c r="D22" s="486">
        <v>43047.85</v>
      </c>
      <c r="E22" s="486">
        <v>-18753.86</v>
      </c>
    </row>
    <row r="23" spans="1:5" x14ac:dyDescent="0.25">
      <c r="A23" s="484" t="s">
        <v>110</v>
      </c>
      <c r="B23" s="484" t="s">
        <v>111</v>
      </c>
      <c r="C23" s="486">
        <v>-117024.38</v>
      </c>
      <c r="D23" s="486">
        <v>79666.41</v>
      </c>
      <c r="E23" s="486">
        <v>-37357.97</v>
      </c>
    </row>
    <row r="24" spans="1:5" x14ac:dyDescent="0.25">
      <c r="A24" s="484" t="s">
        <v>112</v>
      </c>
      <c r="B24" s="484" t="s">
        <v>113</v>
      </c>
      <c r="C24" s="486">
        <v>-34885.32</v>
      </c>
      <c r="D24" s="486">
        <v>43452.87</v>
      </c>
      <c r="E24" s="486">
        <v>8567.5499999999993</v>
      </c>
    </row>
    <row r="25" spans="1:5" x14ac:dyDescent="0.25">
      <c r="A25" s="484" t="s">
        <v>114</v>
      </c>
      <c r="B25" s="484" t="s">
        <v>115</v>
      </c>
      <c r="C25" s="486">
        <v>-661.24</v>
      </c>
      <c r="D25" s="486">
        <v>2581.89</v>
      </c>
      <c r="E25" s="486">
        <v>1920.65</v>
      </c>
    </row>
    <row r="26" spans="1:5" x14ac:dyDescent="0.25">
      <c r="A26" s="487" t="s">
        <v>116</v>
      </c>
      <c r="B26" s="488"/>
      <c r="C26" s="489">
        <f>SUM(C22:C25)</f>
        <v>-214372.65</v>
      </c>
      <c r="D26" s="489">
        <f>SUM(D22:D25)</f>
        <v>168749.02000000002</v>
      </c>
      <c r="E26" s="489">
        <f>SUM(E22:E25)</f>
        <v>-45623.63</v>
      </c>
    </row>
    <row r="28" spans="1:5" x14ac:dyDescent="0.25">
      <c r="A28" s="484" t="s">
        <v>117</v>
      </c>
      <c r="B28" s="484" t="s">
        <v>118</v>
      </c>
      <c r="C28" s="486">
        <v>1019.6</v>
      </c>
      <c r="D28" s="486">
        <v>0</v>
      </c>
      <c r="E28" s="486">
        <v>1019.6</v>
      </c>
    </row>
    <row r="29" spans="1:5" x14ac:dyDescent="0.25">
      <c r="A29" s="484" t="s">
        <v>119</v>
      </c>
      <c r="B29" s="484" t="s">
        <v>120</v>
      </c>
      <c r="C29" s="486">
        <v>1965.3</v>
      </c>
      <c r="D29" s="486">
        <v>0</v>
      </c>
      <c r="E29" s="486">
        <v>1965.3</v>
      </c>
    </row>
    <row r="30" spans="1:5" x14ac:dyDescent="0.25">
      <c r="A30" s="484" t="s">
        <v>121</v>
      </c>
      <c r="B30" s="484" t="s">
        <v>122</v>
      </c>
      <c r="C30" s="486">
        <v>967.5</v>
      </c>
      <c r="D30" s="486">
        <v>0</v>
      </c>
      <c r="E30" s="486">
        <v>967.5</v>
      </c>
    </row>
    <row r="31" spans="1:5" x14ac:dyDescent="0.25">
      <c r="A31" s="484" t="s">
        <v>123</v>
      </c>
      <c r="B31" s="484" t="s">
        <v>124</v>
      </c>
      <c r="C31" s="486">
        <v>47.6</v>
      </c>
      <c r="D31" s="486">
        <v>0</v>
      </c>
      <c r="E31" s="486">
        <v>47.6</v>
      </c>
    </row>
    <row r="32" spans="1:5" x14ac:dyDescent="0.25">
      <c r="A32" s="487" t="s">
        <v>125</v>
      </c>
      <c r="B32" s="488"/>
      <c r="C32" s="489">
        <f>SUM(C28:C31)</f>
        <v>4000</v>
      </c>
      <c r="D32" s="489">
        <f>SUM(D28:D31)</f>
        <v>0</v>
      </c>
      <c r="E32" s="489">
        <f>SUM(E28:E31)</f>
        <v>4000</v>
      </c>
    </row>
    <row r="34" spans="1:5" x14ac:dyDescent="0.25">
      <c r="A34" s="484" t="s">
        <v>317</v>
      </c>
      <c r="B34" s="484" t="s">
        <v>318</v>
      </c>
      <c r="C34" s="486">
        <v>0</v>
      </c>
      <c r="D34" s="486">
        <v>0</v>
      </c>
      <c r="E34" s="486">
        <v>0</v>
      </c>
    </row>
    <row r="35" spans="1:5" x14ac:dyDescent="0.25">
      <c r="A35" s="484" t="s">
        <v>319</v>
      </c>
      <c r="B35" s="484" t="s">
        <v>320</v>
      </c>
      <c r="C35" s="486">
        <v>0</v>
      </c>
      <c r="D35" s="486">
        <v>0</v>
      </c>
      <c r="E35" s="486">
        <v>0</v>
      </c>
    </row>
    <row r="36" spans="1:5" x14ac:dyDescent="0.25">
      <c r="A36" s="484" t="s">
        <v>321</v>
      </c>
      <c r="B36" s="484" t="s">
        <v>322</v>
      </c>
      <c r="C36" s="486">
        <v>0</v>
      </c>
      <c r="D36" s="486">
        <v>0</v>
      </c>
      <c r="E36" s="486">
        <v>0</v>
      </c>
    </row>
    <row r="37" spans="1:5" x14ac:dyDescent="0.25">
      <c r="A37" s="484" t="s">
        <v>323</v>
      </c>
      <c r="B37" s="484" t="s">
        <v>324</v>
      </c>
      <c r="C37" s="486">
        <v>0</v>
      </c>
      <c r="D37" s="486">
        <v>0</v>
      </c>
      <c r="E37" s="486">
        <v>0</v>
      </c>
    </row>
    <row r="38" spans="1:5" x14ac:dyDescent="0.25">
      <c r="A38" s="487" t="s">
        <v>325</v>
      </c>
      <c r="B38" s="488"/>
      <c r="C38" s="489">
        <f>SUM(C34:C37)</f>
        <v>0</v>
      </c>
      <c r="D38" s="489">
        <f>SUM(D34:D37)</f>
        <v>0</v>
      </c>
      <c r="E38" s="489">
        <f>SUM(E34:E37)</f>
        <v>0</v>
      </c>
    </row>
    <row r="40" spans="1:5" x14ac:dyDescent="0.25">
      <c r="A40" s="484" t="s">
        <v>126</v>
      </c>
      <c r="B40" s="484" t="s">
        <v>347</v>
      </c>
      <c r="C40" s="486">
        <v>-7144186.2800000003</v>
      </c>
      <c r="D40" s="486">
        <v>525676.42000000004</v>
      </c>
      <c r="E40" s="486">
        <v>-6618509.8600000003</v>
      </c>
    </row>
    <row r="41" spans="1:5" x14ac:dyDescent="0.25">
      <c r="A41" s="484" t="s">
        <v>128</v>
      </c>
      <c r="B41" s="484" t="s">
        <v>348</v>
      </c>
      <c r="C41" s="486">
        <v>-13861312.710000001</v>
      </c>
      <c r="D41" s="486">
        <v>119300.99</v>
      </c>
      <c r="E41" s="486">
        <v>-13742011.720000001</v>
      </c>
    </row>
    <row r="42" spans="1:5" x14ac:dyDescent="0.25">
      <c r="A42" s="484" t="s">
        <v>130</v>
      </c>
      <c r="B42" s="484" t="s">
        <v>349</v>
      </c>
      <c r="C42" s="486">
        <v>-6735985.6699999999</v>
      </c>
      <c r="D42" s="486">
        <v>65070.96</v>
      </c>
      <c r="E42" s="486">
        <v>-6670914.71</v>
      </c>
    </row>
    <row r="43" spans="1:5" x14ac:dyDescent="0.25">
      <c r="A43" s="484" t="s">
        <v>132</v>
      </c>
      <c r="B43" s="484" t="s">
        <v>350</v>
      </c>
      <c r="C43" s="486">
        <v>-280356</v>
      </c>
      <c r="D43" s="486">
        <v>3866.35</v>
      </c>
      <c r="E43" s="486">
        <v>-276489.65000000002</v>
      </c>
    </row>
    <row r="44" spans="1:5" x14ac:dyDescent="0.25">
      <c r="A44" s="487" t="s">
        <v>134</v>
      </c>
      <c r="B44" s="488"/>
      <c r="C44" s="489">
        <f>SUM(C40:C43)</f>
        <v>-28021840.660000004</v>
      </c>
      <c r="D44" s="489">
        <f>SUM(D40:D43)</f>
        <v>713914.72</v>
      </c>
      <c r="E44" s="489">
        <f>SUM(E40:E43)</f>
        <v>-27307925.940000001</v>
      </c>
    </row>
    <row r="46" spans="1:5" x14ac:dyDescent="0.25">
      <c r="A46" s="484" t="s">
        <v>326</v>
      </c>
      <c r="B46" s="484" t="s">
        <v>327</v>
      </c>
      <c r="C46" s="486">
        <v>0</v>
      </c>
      <c r="D46" s="486">
        <v>0</v>
      </c>
      <c r="E46" s="486">
        <v>0</v>
      </c>
    </row>
    <row r="47" spans="1:5" x14ac:dyDescent="0.25">
      <c r="A47" s="484" t="s">
        <v>328</v>
      </c>
      <c r="B47" s="484" t="s">
        <v>329</v>
      </c>
      <c r="C47" s="486">
        <v>13145706</v>
      </c>
      <c r="D47" s="486">
        <v>25306397</v>
      </c>
      <c r="E47" s="486">
        <v>38452103</v>
      </c>
    </row>
    <row r="48" spans="1:5" x14ac:dyDescent="0.25">
      <c r="A48" s="484" t="s">
        <v>330</v>
      </c>
      <c r="B48" s="484" t="s">
        <v>331</v>
      </c>
      <c r="C48" s="486">
        <v>-32160100</v>
      </c>
      <c r="D48" s="486">
        <v>-8847547</v>
      </c>
      <c r="E48" s="486">
        <v>-41007647</v>
      </c>
    </row>
    <row r="49" spans="1:5" x14ac:dyDescent="0.25">
      <c r="A49" s="484" t="s">
        <v>332</v>
      </c>
      <c r="B49" s="484" t="s">
        <v>333</v>
      </c>
      <c r="C49" s="486">
        <v>0</v>
      </c>
      <c r="D49" s="486">
        <v>0</v>
      </c>
      <c r="E49" s="486">
        <v>0</v>
      </c>
    </row>
    <row r="50" spans="1:5" x14ac:dyDescent="0.25">
      <c r="A50" s="487" t="s">
        <v>334</v>
      </c>
      <c r="B50" s="488"/>
      <c r="C50" s="489">
        <f>SUM(C46:C49)</f>
        <v>-19014394</v>
      </c>
      <c r="D50" s="489">
        <f>SUM(D46:D49)</f>
        <v>16458850</v>
      </c>
      <c r="E50" s="489">
        <f>SUM(E46:E49)</f>
        <v>-2555544</v>
      </c>
    </row>
    <row r="52" spans="1:5" x14ac:dyDescent="0.25">
      <c r="A52" s="484" t="s">
        <v>135</v>
      </c>
      <c r="B52" s="484" t="s">
        <v>136</v>
      </c>
      <c r="C52" s="486">
        <v>-1152871964.76</v>
      </c>
      <c r="D52" s="486">
        <v>-198181229.53999999</v>
      </c>
      <c r="E52" s="486">
        <v>-1351053194.3</v>
      </c>
    </row>
    <row r="53" spans="1:5" x14ac:dyDescent="0.25">
      <c r="A53" s="484" t="s">
        <v>137</v>
      </c>
      <c r="B53" s="484" t="s">
        <v>138</v>
      </c>
      <c r="C53" s="486">
        <v>-2373405351.8899999</v>
      </c>
      <c r="D53" s="486">
        <v>-306671565.82999998</v>
      </c>
      <c r="E53" s="486">
        <v>-2680076917.7199998</v>
      </c>
    </row>
    <row r="54" spans="1:5" x14ac:dyDescent="0.25">
      <c r="A54" s="484" t="s">
        <v>139</v>
      </c>
      <c r="B54" s="484" t="s">
        <v>140</v>
      </c>
      <c r="C54" s="486">
        <v>-1207307328.3800001</v>
      </c>
      <c r="D54" s="486">
        <v>-192009351.91</v>
      </c>
      <c r="E54" s="486">
        <v>-1399316680.29</v>
      </c>
    </row>
    <row r="55" spans="1:5" x14ac:dyDescent="0.25">
      <c r="A55" s="484" t="s">
        <v>141</v>
      </c>
      <c r="B55" s="484" t="s">
        <v>142</v>
      </c>
      <c r="C55" s="486">
        <v>-73143973.640000001</v>
      </c>
      <c r="D55" s="486">
        <v>-8959212.7100000009</v>
      </c>
      <c r="E55" s="486">
        <v>-82103186.349999994</v>
      </c>
    </row>
    <row r="56" spans="1:5" x14ac:dyDescent="0.25">
      <c r="A56" s="487" t="s">
        <v>143</v>
      </c>
      <c r="B56" s="488"/>
      <c r="C56" s="489">
        <f>SUM(C52:C55)</f>
        <v>-4806728618.6700001</v>
      </c>
      <c r="D56" s="489">
        <f>SUM(D52:D55)</f>
        <v>-705821359.99000001</v>
      </c>
      <c r="E56" s="489">
        <f>SUM(E52:E55)</f>
        <v>-5512549978.6599998</v>
      </c>
    </row>
    <row r="58" spans="1:5" x14ac:dyDescent="0.25">
      <c r="A58" s="484" t="s">
        <v>351</v>
      </c>
      <c r="B58" s="484" t="s">
        <v>352</v>
      </c>
      <c r="C58" s="486">
        <v>-62624639.25</v>
      </c>
      <c r="D58" s="486">
        <v>11597201.49</v>
      </c>
      <c r="E58" s="486">
        <v>-51027437.759999998</v>
      </c>
    </row>
    <row r="59" spans="1:5" x14ac:dyDescent="0.25">
      <c r="A59" s="484" t="s">
        <v>353</v>
      </c>
      <c r="B59" s="484" t="s">
        <v>354</v>
      </c>
      <c r="C59" s="486">
        <v>-540.66</v>
      </c>
      <c r="D59" s="486">
        <v>0</v>
      </c>
      <c r="E59" s="486">
        <v>-540.66</v>
      </c>
    </row>
    <row r="60" spans="1:5" x14ac:dyDescent="0.25">
      <c r="C60" s="486">
        <f>SUM(C58:C59)</f>
        <v>-62625179.909999996</v>
      </c>
      <c r="D60" s="486">
        <f>SUM(D58:D59)</f>
        <v>11597201.49</v>
      </c>
      <c r="E60" s="486">
        <f>SUM(E58:E59)</f>
        <v>-51027978.419999994</v>
      </c>
    </row>
    <row r="62" spans="1:5" x14ac:dyDescent="0.25">
      <c r="A62" s="487" t="s">
        <v>144</v>
      </c>
      <c r="B62" s="487" t="s">
        <v>39</v>
      </c>
      <c r="C62" s="489">
        <v>0</v>
      </c>
      <c r="D62" s="489">
        <v>0</v>
      </c>
      <c r="E62" s="489">
        <v>0</v>
      </c>
    </row>
    <row r="63" spans="1:5" x14ac:dyDescent="0.25">
      <c r="A63" s="484" t="s">
        <v>145</v>
      </c>
    </row>
    <row r="66" spans="1:5" x14ac:dyDescent="0.25">
      <c r="A66" s="484" t="s">
        <v>146</v>
      </c>
      <c r="B66" s="484" t="s">
        <v>80</v>
      </c>
      <c r="C66" s="486">
        <v>0</v>
      </c>
      <c r="D66" s="486">
        <v>0</v>
      </c>
      <c r="E66" s="486">
        <v>0</v>
      </c>
    </row>
    <row r="67" spans="1:5" x14ac:dyDescent="0.25">
      <c r="A67" s="484" t="s">
        <v>147</v>
      </c>
      <c r="B67" s="484" t="s">
        <v>81</v>
      </c>
      <c r="C67" s="486">
        <v>0</v>
      </c>
      <c r="D67" s="486">
        <v>0</v>
      </c>
      <c r="E67" s="486">
        <v>0</v>
      </c>
    </row>
    <row r="68" spans="1:5" x14ac:dyDescent="0.25">
      <c r="A68" s="484" t="s">
        <v>148</v>
      </c>
      <c r="B68" s="484" t="s">
        <v>82</v>
      </c>
      <c r="C68" s="486">
        <v>0</v>
      </c>
      <c r="D68" s="486">
        <v>0</v>
      </c>
      <c r="E68" s="486">
        <v>0</v>
      </c>
    </row>
    <row r="69" spans="1:5" x14ac:dyDescent="0.25">
      <c r="A69" s="484" t="s">
        <v>149</v>
      </c>
      <c r="B69" s="484" t="s">
        <v>83</v>
      </c>
      <c r="C69" s="486">
        <v>0</v>
      </c>
      <c r="D69" s="486">
        <v>0</v>
      </c>
      <c r="E69" s="486">
        <v>0</v>
      </c>
    </row>
    <row r="70" spans="1:5" x14ac:dyDescent="0.25">
      <c r="A70" s="487" t="s">
        <v>150</v>
      </c>
      <c r="B70" s="488"/>
      <c r="C70" s="489">
        <f>SUM(C66:C69)</f>
        <v>0</v>
      </c>
      <c r="D70" s="489">
        <f>SUM(D66:D69)</f>
        <v>0</v>
      </c>
      <c r="E70" s="489">
        <f>SUM(E66:E69)</f>
        <v>0</v>
      </c>
    </row>
    <row r="72" spans="1:5" x14ac:dyDescent="0.25">
      <c r="A72" s="484" t="s">
        <v>151</v>
      </c>
      <c r="B72" s="484" t="s">
        <v>40</v>
      </c>
      <c r="C72" s="486">
        <v>-40763056.25</v>
      </c>
      <c r="D72" s="486">
        <v>-6478408.46</v>
      </c>
      <c r="E72" s="486">
        <v>-47241464.710000001</v>
      </c>
    </row>
    <row r="73" spans="1:5" x14ac:dyDescent="0.25">
      <c r="A73" s="484" t="s">
        <v>152</v>
      </c>
      <c r="B73" s="484" t="s">
        <v>41</v>
      </c>
      <c r="C73" s="486">
        <v>-8736219.5999999996</v>
      </c>
      <c r="D73" s="486">
        <v>-1783679.64</v>
      </c>
      <c r="E73" s="486">
        <v>-10519899.24</v>
      </c>
    </row>
    <row r="74" spans="1:5" x14ac:dyDescent="0.25">
      <c r="A74" s="484" t="s">
        <v>153</v>
      </c>
      <c r="B74" s="484" t="s">
        <v>42</v>
      </c>
      <c r="C74" s="486">
        <v>-3381194.59</v>
      </c>
      <c r="D74" s="486">
        <v>-705598.31</v>
      </c>
      <c r="E74" s="486">
        <v>-4086792.9</v>
      </c>
    </row>
    <row r="75" spans="1:5" x14ac:dyDescent="0.25">
      <c r="A75" s="484" t="s">
        <v>154</v>
      </c>
      <c r="B75" s="484" t="s">
        <v>43</v>
      </c>
      <c r="C75" s="486">
        <v>-6925411.21</v>
      </c>
      <c r="D75" s="486">
        <v>-1960917.05</v>
      </c>
      <c r="E75" s="486">
        <v>-8886328.2599999998</v>
      </c>
    </row>
    <row r="76" spans="1:5" x14ac:dyDescent="0.25">
      <c r="A76" s="487" t="s">
        <v>155</v>
      </c>
      <c r="B76" s="488"/>
      <c r="C76" s="489">
        <f>SUM(C72:C75)</f>
        <v>-59805881.649999999</v>
      </c>
      <c r="D76" s="489">
        <f>SUM(D72:D75)</f>
        <v>-10928603.460000001</v>
      </c>
      <c r="E76" s="489">
        <f>SUM(E72:E75)</f>
        <v>-70734485.109999999</v>
      </c>
    </row>
    <row r="78" spans="1:5" x14ac:dyDescent="0.25">
      <c r="A78" s="484" t="s">
        <v>156</v>
      </c>
      <c r="B78" s="484" t="s">
        <v>157</v>
      </c>
      <c r="C78" s="486">
        <v>5856447.9500000002</v>
      </c>
      <c r="D78" s="486">
        <v>506654.4</v>
      </c>
      <c r="E78" s="486">
        <v>6363102.3499999996</v>
      </c>
    </row>
    <row r="79" spans="1:5" x14ac:dyDescent="0.25">
      <c r="A79" s="484" t="s">
        <v>158</v>
      </c>
      <c r="B79" s="484" t="s">
        <v>159</v>
      </c>
      <c r="C79" s="486">
        <v>5629271.9100000001</v>
      </c>
      <c r="D79" s="486">
        <v>1020154.43</v>
      </c>
      <c r="E79" s="486">
        <v>6649426.3399999999</v>
      </c>
    </row>
    <row r="80" spans="1:5" x14ac:dyDescent="0.25">
      <c r="A80" s="484" t="s">
        <v>160</v>
      </c>
      <c r="B80" s="484" t="s">
        <v>161</v>
      </c>
      <c r="C80" s="486">
        <v>163055.93</v>
      </c>
      <c r="D80" s="486">
        <v>55148.4</v>
      </c>
      <c r="E80" s="486">
        <v>218204.33</v>
      </c>
    </row>
    <row r="81" spans="1:5" x14ac:dyDescent="0.25">
      <c r="A81" s="484" t="s">
        <v>162</v>
      </c>
      <c r="B81" s="484" t="s">
        <v>163</v>
      </c>
      <c r="C81" s="486">
        <v>4068796.32</v>
      </c>
      <c r="D81" s="486">
        <v>727608.12</v>
      </c>
      <c r="E81" s="486">
        <v>4796404.4400000004</v>
      </c>
    </row>
    <row r="82" spans="1:5" x14ac:dyDescent="0.25">
      <c r="A82" s="487" t="s">
        <v>164</v>
      </c>
      <c r="B82" s="488"/>
      <c r="C82" s="489">
        <f>SUM(C78:C81)</f>
        <v>15717572.109999999</v>
      </c>
      <c r="D82" s="489">
        <f>SUM(D78:D81)</f>
        <v>2309565.35</v>
      </c>
      <c r="E82" s="489">
        <f>SUM(E78:E81)</f>
        <v>18027137.460000001</v>
      </c>
    </row>
    <row r="84" spans="1:5" x14ac:dyDescent="0.25">
      <c r="A84" s="487" t="s">
        <v>31</v>
      </c>
      <c r="B84" s="488"/>
      <c r="C84" s="489">
        <f>C14+C20+C26+C32+C44+C56+C62+C70+C76+C82+C50+C38+C60</f>
        <v>553634445.00000083</v>
      </c>
      <c r="D84" s="489">
        <f>D14+D20+D26+D32+D44+D56+D62+D70+D76+D82+D50+D38+D60</f>
        <v>127065375.69000004</v>
      </c>
      <c r="E84" s="489">
        <f>E14+E20+E26+E32+E44+E56+E62+E70+E76+E82+E50+E38+E60</f>
        <v>680699820.68999934</v>
      </c>
    </row>
  </sheetData>
  <pageMargins left="0.75" right="0.75" top="0.75" bottom="0.7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H65" sqref="H65"/>
    </sheetView>
  </sheetViews>
  <sheetFormatPr defaultColWidth="9.109375" defaultRowHeight="13.2" x14ac:dyDescent="0.25"/>
  <cols>
    <col min="1" max="1" width="30.6640625" style="460" customWidth="1"/>
    <col min="2" max="2" width="33.6640625" style="460" customWidth="1"/>
    <col min="3" max="5" width="22.6640625" style="471" customWidth="1"/>
    <col min="6" max="16384" width="9.109375" style="460"/>
  </cols>
  <sheetData>
    <row r="1" spans="1:5" x14ac:dyDescent="0.25">
      <c r="C1" s="461" t="s">
        <v>53</v>
      </c>
      <c r="D1" s="462"/>
      <c r="E1" s="462"/>
    </row>
    <row r="2" spans="1:5" x14ac:dyDescent="0.25">
      <c r="C2" s="463" t="s">
        <v>86</v>
      </c>
      <c r="D2" s="464"/>
      <c r="E2" s="464"/>
    </row>
    <row r="3" spans="1:5" x14ac:dyDescent="0.25">
      <c r="C3" s="461" t="s">
        <v>361</v>
      </c>
      <c r="D3" s="462"/>
      <c r="E3" s="462"/>
    </row>
    <row r="4" spans="1:5" x14ac:dyDescent="0.25">
      <c r="C4" s="461" t="s">
        <v>88</v>
      </c>
      <c r="D4" s="462"/>
      <c r="E4" s="462"/>
    </row>
    <row r="5" spans="1:5" x14ac:dyDescent="0.25">
      <c r="C5" s="465" t="s">
        <v>362</v>
      </c>
      <c r="D5" s="466"/>
      <c r="E5" s="466"/>
    </row>
    <row r="7" spans="1:5" x14ac:dyDescent="0.25">
      <c r="B7" s="467" t="s">
        <v>30</v>
      </c>
      <c r="C7" s="468" t="s">
        <v>90</v>
      </c>
      <c r="D7" s="468" t="s">
        <v>185</v>
      </c>
      <c r="E7" s="468" t="s">
        <v>92</v>
      </c>
    </row>
    <row r="9" spans="1:5" x14ac:dyDescent="0.25">
      <c r="A9" s="469" t="s">
        <v>93</v>
      </c>
      <c r="B9" s="469" t="s">
        <v>34</v>
      </c>
      <c r="C9" s="470">
        <v>1379793563.6800001</v>
      </c>
      <c r="D9" s="470">
        <v>207173145.03</v>
      </c>
      <c r="E9" s="470">
        <v>1586966708.71</v>
      </c>
    </row>
    <row r="10" spans="1:5" x14ac:dyDescent="0.25">
      <c r="A10" s="469" t="s">
        <v>94</v>
      </c>
      <c r="B10" s="469" t="s">
        <v>35</v>
      </c>
      <c r="C10" s="471">
        <v>2667574595.75</v>
      </c>
      <c r="D10" s="471">
        <v>383403889.08999997</v>
      </c>
      <c r="E10" s="471">
        <v>3050978484.8400002</v>
      </c>
    </row>
    <row r="11" spans="1:5" x14ac:dyDescent="0.25">
      <c r="A11" s="469" t="s">
        <v>95</v>
      </c>
      <c r="B11" s="469" t="s">
        <v>36</v>
      </c>
      <c r="C11" s="471">
        <v>1402932798.4200001</v>
      </c>
      <c r="D11" s="471">
        <v>208966225.43000001</v>
      </c>
      <c r="E11" s="471">
        <v>1611899023.8499999</v>
      </c>
    </row>
    <row r="12" spans="1:5" x14ac:dyDescent="0.25">
      <c r="A12" s="469" t="s">
        <v>96</v>
      </c>
      <c r="B12" s="469" t="s">
        <v>37</v>
      </c>
      <c r="C12" s="471">
        <v>59891768.289999999</v>
      </c>
      <c r="D12" s="471">
        <v>12467195.439999999</v>
      </c>
      <c r="E12" s="471">
        <v>72358963.730000004</v>
      </c>
    </row>
    <row r="13" spans="1:5" x14ac:dyDescent="0.25">
      <c r="A13" s="469" t="s">
        <v>97</v>
      </c>
      <c r="B13" s="469" t="s">
        <v>38</v>
      </c>
      <c r="C13" s="471">
        <v>0</v>
      </c>
      <c r="D13" s="471">
        <v>0</v>
      </c>
      <c r="E13" s="471">
        <v>0</v>
      </c>
    </row>
    <row r="14" spans="1:5" x14ac:dyDescent="0.25">
      <c r="A14" s="472" t="s">
        <v>98</v>
      </c>
      <c r="B14" s="473"/>
      <c r="C14" s="474">
        <f>SUM(C9:C13)</f>
        <v>5510192726.1400003</v>
      </c>
      <c r="D14" s="474">
        <f>SUM(D9:D13)</f>
        <v>812010454.99000001</v>
      </c>
      <c r="E14" s="474">
        <f>SUM(E9:E13)</f>
        <v>6322203181.1299992</v>
      </c>
    </row>
    <row r="16" spans="1:5" x14ac:dyDescent="0.25">
      <c r="A16" s="469" t="s">
        <v>99</v>
      </c>
      <c r="B16" s="469" t="s">
        <v>100</v>
      </c>
      <c r="C16" s="471">
        <v>922479.41</v>
      </c>
      <c r="D16" s="471">
        <v>125004.67</v>
      </c>
      <c r="E16" s="471">
        <v>1047484.08</v>
      </c>
    </row>
    <row r="17" spans="1:5" x14ac:dyDescent="0.25">
      <c r="A17" s="469" t="s">
        <v>101</v>
      </c>
      <c r="B17" s="469" t="s">
        <v>102</v>
      </c>
      <c r="C17" s="471">
        <v>1783786.9</v>
      </c>
      <c r="D17" s="471">
        <v>231673.34</v>
      </c>
      <c r="E17" s="471">
        <v>2015460.24</v>
      </c>
    </row>
    <row r="18" spans="1:5" x14ac:dyDescent="0.25">
      <c r="A18" s="469" t="s">
        <v>103</v>
      </c>
      <c r="B18" s="469" t="s">
        <v>104</v>
      </c>
      <c r="C18" s="471">
        <v>1384721.1</v>
      </c>
      <c r="D18" s="471">
        <v>192724.41</v>
      </c>
      <c r="E18" s="471">
        <v>1577445.51</v>
      </c>
    </row>
    <row r="19" spans="1:5" x14ac:dyDescent="0.25">
      <c r="A19" s="469" t="s">
        <v>105</v>
      </c>
      <c r="B19" s="469" t="s">
        <v>106</v>
      </c>
      <c r="C19" s="471">
        <v>39446.879999999997</v>
      </c>
      <c r="D19" s="471">
        <v>7201.15</v>
      </c>
      <c r="E19" s="471">
        <v>46648.03</v>
      </c>
    </row>
    <row r="20" spans="1:5" x14ac:dyDescent="0.25">
      <c r="A20" s="472" t="s">
        <v>107</v>
      </c>
      <c r="B20" s="473"/>
      <c r="C20" s="474">
        <f>SUM(C16:C19)</f>
        <v>4130434.29</v>
      </c>
      <c r="D20" s="474">
        <f>SUM(D16:D19)</f>
        <v>556603.57000000007</v>
      </c>
      <c r="E20" s="474">
        <f>SUM(E16:E19)</f>
        <v>4687037.8600000003</v>
      </c>
    </row>
    <row r="22" spans="1:5" x14ac:dyDescent="0.25">
      <c r="A22" s="469" t="s">
        <v>108</v>
      </c>
      <c r="B22" s="469" t="s">
        <v>109</v>
      </c>
      <c r="C22" s="471">
        <v>-61801.71</v>
      </c>
      <c r="D22" s="471">
        <v>43047.85</v>
      </c>
      <c r="E22" s="471">
        <v>-18753.86</v>
      </c>
    </row>
    <row r="23" spans="1:5" x14ac:dyDescent="0.25">
      <c r="A23" s="469" t="s">
        <v>110</v>
      </c>
      <c r="B23" s="469" t="s">
        <v>111</v>
      </c>
      <c r="C23" s="471">
        <v>-117024.38</v>
      </c>
      <c r="D23" s="471">
        <v>79666.41</v>
      </c>
      <c r="E23" s="471">
        <v>-37357.97</v>
      </c>
    </row>
    <row r="24" spans="1:5" x14ac:dyDescent="0.25">
      <c r="A24" s="469" t="s">
        <v>112</v>
      </c>
      <c r="B24" s="469" t="s">
        <v>113</v>
      </c>
      <c r="C24" s="471">
        <v>-34885.32</v>
      </c>
      <c r="D24" s="471">
        <v>43452.87</v>
      </c>
      <c r="E24" s="471">
        <v>8567.5499999999993</v>
      </c>
    </row>
    <row r="25" spans="1:5" x14ac:dyDescent="0.25">
      <c r="A25" s="469" t="s">
        <v>114</v>
      </c>
      <c r="B25" s="469" t="s">
        <v>115</v>
      </c>
      <c r="C25" s="471">
        <v>-661.24</v>
      </c>
      <c r="D25" s="471">
        <v>2581.89</v>
      </c>
      <c r="E25" s="471">
        <v>1920.65</v>
      </c>
    </row>
    <row r="26" spans="1:5" x14ac:dyDescent="0.25">
      <c r="A26" s="472" t="s">
        <v>116</v>
      </c>
      <c r="B26" s="473"/>
      <c r="C26" s="474">
        <f>SUM(C22:C25)</f>
        <v>-214372.65</v>
      </c>
      <c r="D26" s="474">
        <f>SUM(D22:D25)</f>
        <v>168749.02000000002</v>
      </c>
      <c r="E26" s="474">
        <f>SUM(E22:E25)</f>
        <v>-45623.63</v>
      </c>
    </row>
    <row r="28" spans="1:5" x14ac:dyDescent="0.25">
      <c r="A28" s="469" t="s">
        <v>117</v>
      </c>
      <c r="B28" s="469" t="s">
        <v>118</v>
      </c>
      <c r="C28" s="471">
        <v>1019.6</v>
      </c>
      <c r="D28" s="471">
        <v>0</v>
      </c>
      <c r="E28" s="471">
        <v>1019.6</v>
      </c>
    </row>
    <row r="29" spans="1:5" x14ac:dyDescent="0.25">
      <c r="A29" s="469" t="s">
        <v>119</v>
      </c>
      <c r="B29" s="469" t="s">
        <v>120</v>
      </c>
      <c r="C29" s="471">
        <v>1965.3</v>
      </c>
      <c r="D29" s="471">
        <v>0</v>
      </c>
      <c r="E29" s="471">
        <v>1965.3</v>
      </c>
    </row>
    <row r="30" spans="1:5" x14ac:dyDescent="0.25">
      <c r="A30" s="469" t="s">
        <v>121</v>
      </c>
      <c r="B30" s="469" t="s">
        <v>122</v>
      </c>
      <c r="C30" s="471">
        <v>967.5</v>
      </c>
      <c r="D30" s="471">
        <v>0</v>
      </c>
      <c r="E30" s="471">
        <v>967.5</v>
      </c>
    </row>
    <row r="31" spans="1:5" x14ac:dyDescent="0.25">
      <c r="A31" s="469" t="s">
        <v>123</v>
      </c>
      <c r="B31" s="469" t="s">
        <v>124</v>
      </c>
      <c r="C31" s="471">
        <v>47.6</v>
      </c>
      <c r="D31" s="471">
        <v>0</v>
      </c>
      <c r="E31" s="471">
        <v>47.6</v>
      </c>
    </row>
    <row r="32" spans="1:5" x14ac:dyDescent="0.25">
      <c r="A32" s="472" t="s">
        <v>125</v>
      </c>
      <c r="B32" s="473"/>
      <c r="C32" s="474">
        <f>SUM(C28:C31)</f>
        <v>4000</v>
      </c>
      <c r="D32" s="474">
        <f>SUM(D28:D31)</f>
        <v>0</v>
      </c>
      <c r="E32" s="474">
        <f>SUM(E28:E31)</f>
        <v>4000</v>
      </c>
    </row>
    <row r="34" spans="1:5" x14ac:dyDescent="0.25">
      <c r="A34" s="469" t="s">
        <v>317</v>
      </c>
      <c r="B34" s="469" t="s">
        <v>318</v>
      </c>
      <c r="C34" s="471">
        <v>0</v>
      </c>
      <c r="D34" s="471">
        <v>0</v>
      </c>
      <c r="E34" s="471">
        <v>0</v>
      </c>
    </row>
    <row r="35" spans="1:5" x14ac:dyDescent="0.25">
      <c r="A35" s="469" t="s">
        <v>319</v>
      </c>
      <c r="B35" s="469" t="s">
        <v>320</v>
      </c>
      <c r="C35" s="471">
        <v>0</v>
      </c>
      <c r="D35" s="471">
        <v>0</v>
      </c>
      <c r="E35" s="471">
        <v>0</v>
      </c>
    </row>
    <row r="36" spans="1:5" x14ac:dyDescent="0.25">
      <c r="A36" s="469" t="s">
        <v>321</v>
      </c>
      <c r="B36" s="469" t="s">
        <v>322</v>
      </c>
      <c r="C36" s="471">
        <v>0</v>
      </c>
      <c r="D36" s="471">
        <v>0</v>
      </c>
      <c r="E36" s="471">
        <v>0</v>
      </c>
    </row>
    <row r="37" spans="1:5" x14ac:dyDescent="0.25">
      <c r="A37" s="469" t="s">
        <v>323</v>
      </c>
      <c r="B37" s="469" t="s">
        <v>324</v>
      </c>
      <c r="C37" s="471">
        <v>0</v>
      </c>
      <c r="D37" s="471">
        <v>0</v>
      </c>
      <c r="E37" s="471">
        <v>0</v>
      </c>
    </row>
    <row r="38" spans="1:5" x14ac:dyDescent="0.25">
      <c r="A38" s="472" t="s">
        <v>325</v>
      </c>
      <c r="B38" s="473"/>
      <c r="C38" s="474">
        <f>SUM(C34:C37)</f>
        <v>0</v>
      </c>
      <c r="D38" s="474">
        <f>SUM(D34:D37)</f>
        <v>0</v>
      </c>
      <c r="E38" s="474">
        <f>SUM(E34:E37)</f>
        <v>0</v>
      </c>
    </row>
    <row r="40" spans="1:5" x14ac:dyDescent="0.25">
      <c r="A40" s="469" t="s">
        <v>126</v>
      </c>
      <c r="B40" s="469" t="s">
        <v>347</v>
      </c>
      <c r="C40" s="471">
        <v>-7144186.2800000003</v>
      </c>
      <c r="D40" s="471">
        <v>520561.21</v>
      </c>
      <c r="E40" s="471">
        <v>-6623625.0700000003</v>
      </c>
    </row>
    <row r="41" spans="1:5" x14ac:dyDescent="0.25">
      <c r="A41" s="469" t="s">
        <v>128</v>
      </c>
      <c r="B41" s="469" t="s">
        <v>348</v>
      </c>
      <c r="C41" s="471">
        <v>-13861312.710000001</v>
      </c>
      <c r="D41" s="471">
        <v>109834.54</v>
      </c>
      <c r="E41" s="471">
        <v>-13751478.17</v>
      </c>
    </row>
    <row r="42" spans="1:5" x14ac:dyDescent="0.25">
      <c r="A42" s="469" t="s">
        <v>130</v>
      </c>
      <c r="B42" s="469" t="s">
        <v>349</v>
      </c>
      <c r="C42" s="471">
        <v>-6735985.6699999999</v>
      </c>
      <c r="D42" s="471">
        <v>59907.63</v>
      </c>
      <c r="E42" s="471">
        <v>-6676078.04</v>
      </c>
    </row>
    <row r="43" spans="1:5" x14ac:dyDescent="0.25">
      <c r="A43" s="469" t="s">
        <v>132</v>
      </c>
      <c r="B43" s="469" t="s">
        <v>350</v>
      </c>
      <c r="C43" s="471">
        <v>-280356</v>
      </c>
      <c r="D43" s="471">
        <v>3559.56</v>
      </c>
      <c r="E43" s="471">
        <v>-276796.44</v>
      </c>
    </row>
    <row r="44" spans="1:5" x14ac:dyDescent="0.25">
      <c r="A44" s="472" t="s">
        <v>134</v>
      </c>
      <c r="B44" s="473"/>
      <c r="C44" s="474">
        <f>SUM(C40:C43)</f>
        <v>-28021840.660000004</v>
      </c>
      <c r="D44" s="474">
        <f>SUM(D40:D43)</f>
        <v>693862.94000000006</v>
      </c>
      <c r="E44" s="474">
        <f>SUM(E40:E43)</f>
        <v>-27327977.720000003</v>
      </c>
    </row>
    <row r="46" spans="1:5" x14ac:dyDescent="0.25">
      <c r="A46" s="469" t="s">
        <v>326</v>
      </c>
      <c r="B46" s="469" t="s">
        <v>327</v>
      </c>
      <c r="C46" s="471">
        <v>0</v>
      </c>
      <c r="D46" s="471">
        <v>0</v>
      </c>
      <c r="E46" s="471">
        <v>0</v>
      </c>
    </row>
    <row r="47" spans="1:5" x14ac:dyDescent="0.25">
      <c r="A47" s="469" t="s">
        <v>328</v>
      </c>
      <c r="B47" s="469" t="s">
        <v>329</v>
      </c>
      <c r="C47" s="471">
        <v>13145706</v>
      </c>
      <c r="D47" s="471">
        <v>25306397</v>
      </c>
      <c r="E47" s="471">
        <v>38452103</v>
      </c>
    </row>
    <row r="48" spans="1:5" x14ac:dyDescent="0.25">
      <c r="A48" s="469" t="s">
        <v>330</v>
      </c>
      <c r="B48" s="469" t="s">
        <v>331</v>
      </c>
      <c r="C48" s="471">
        <v>-32160100</v>
      </c>
      <c r="D48" s="471">
        <v>-8847547</v>
      </c>
      <c r="E48" s="471">
        <v>-41007647</v>
      </c>
    </row>
    <row r="49" spans="1:5" x14ac:dyDescent="0.25">
      <c r="A49" s="469" t="s">
        <v>332</v>
      </c>
      <c r="B49" s="469" t="s">
        <v>333</v>
      </c>
      <c r="C49" s="471">
        <v>0</v>
      </c>
      <c r="D49" s="471">
        <v>0</v>
      </c>
      <c r="E49" s="471">
        <v>0</v>
      </c>
    </row>
    <row r="50" spans="1:5" x14ac:dyDescent="0.25">
      <c r="A50" s="472" t="s">
        <v>334</v>
      </c>
      <c r="B50" s="473"/>
      <c r="C50" s="474">
        <f>SUM(C46:C49)</f>
        <v>-19014394</v>
      </c>
      <c r="D50" s="474">
        <f>SUM(D46:D49)</f>
        <v>16458850</v>
      </c>
      <c r="E50" s="474">
        <f>SUM(E46:E49)</f>
        <v>-2555544</v>
      </c>
    </row>
    <row r="52" spans="1:5" x14ac:dyDescent="0.25">
      <c r="A52" s="469" t="s">
        <v>135</v>
      </c>
      <c r="B52" s="469" t="s">
        <v>136</v>
      </c>
      <c r="C52" s="471">
        <v>-1152871964.76</v>
      </c>
      <c r="D52" s="471">
        <v>-198181229.53999999</v>
      </c>
      <c r="E52" s="471">
        <v>-1351053194.3</v>
      </c>
    </row>
    <row r="53" spans="1:5" x14ac:dyDescent="0.25">
      <c r="A53" s="469" t="s">
        <v>137</v>
      </c>
      <c r="B53" s="469" t="s">
        <v>138</v>
      </c>
      <c r="C53" s="471">
        <v>-2373405351.8899999</v>
      </c>
      <c r="D53" s="471">
        <v>-293593184.82999998</v>
      </c>
      <c r="E53" s="471">
        <v>-2666998536.7199998</v>
      </c>
    </row>
    <row r="54" spans="1:5" x14ac:dyDescent="0.25">
      <c r="A54" s="469" t="s">
        <v>139</v>
      </c>
      <c r="B54" s="469" t="s">
        <v>140</v>
      </c>
      <c r="C54" s="471">
        <v>-1207307328.3800001</v>
      </c>
      <c r="D54" s="471">
        <v>-192009351.91</v>
      </c>
      <c r="E54" s="471">
        <v>-1399316680.29</v>
      </c>
    </row>
    <row r="55" spans="1:5" x14ac:dyDescent="0.25">
      <c r="A55" s="469" t="s">
        <v>141</v>
      </c>
      <c r="B55" s="469" t="s">
        <v>142</v>
      </c>
      <c r="C55" s="471">
        <v>-73143973.640000001</v>
      </c>
      <c r="D55" s="471">
        <v>-8959212.7100000009</v>
      </c>
      <c r="E55" s="471">
        <v>-82103186.349999994</v>
      </c>
    </row>
    <row r="56" spans="1:5" x14ac:dyDescent="0.25">
      <c r="A56" s="472" t="s">
        <v>143</v>
      </c>
      <c r="B56" s="473"/>
      <c r="C56" s="474">
        <f>SUM(C52:C55)</f>
        <v>-4806728618.6700001</v>
      </c>
      <c r="D56" s="474">
        <f>SUM(D52:D55)</f>
        <v>-692742978.99000001</v>
      </c>
      <c r="E56" s="474">
        <f>SUM(E52:E55)</f>
        <v>-5499471597.6599998</v>
      </c>
    </row>
    <row r="58" spans="1:5" x14ac:dyDescent="0.25">
      <c r="A58" s="469" t="s">
        <v>351</v>
      </c>
      <c r="B58" s="469" t="s">
        <v>352</v>
      </c>
      <c r="C58" s="471">
        <v>-62624639.25</v>
      </c>
      <c r="D58" s="471">
        <v>11597201.49</v>
      </c>
      <c r="E58" s="471">
        <v>-51027437.759999998</v>
      </c>
    </row>
    <row r="59" spans="1:5" x14ac:dyDescent="0.25">
      <c r="A59" s="469" t="s">
        <v>353</v>
      </c>
      <c r="B59" s="469" t="s">
        <v>354</v>
      </c>
      <c r="C59" s="471">
        <v>-540.66</v>
      </c>
      <c r="D59" s="471">
        <v>0</v>
      </c>
      <c r="E59" s="471">
        <v>-540.66</v>
      </c>
    </row>
    <row r="60" spans="1:5" x14ac:dyDescent="0.25">
      <c r="C60" s="471">
        <f>SUM(C58:C59)</f>
        <v>-62625179.909999996</v>
      </c>
      <c r="D60" s="471">
        <f>SUM(D58:D59)</f>
        <v>11597201.49</v>
      </c>
      <c r="E60" s="471">
        <f>SUM(E58:E59)</f>
        <v>-51027978.419999994</v>
      </c>
    </row>
    <row r="62" spans="1:5" x14ac:dyDescent="0.25">
      <c r="A62" s="472" t="s">
        <v>144</v>
      </c>
      <c r="B62" s="472" t="s">
        <v>39</v>
      </c>
      <c r="C62" s="474">
        <v>0</v>
      </c>
      <c r="D62" s="474">
        <v>0</v>
      </c>
      <c r="E62" s="474">
        <v>0</v>
      </c>
    </row>
    <row r="63" spans="1:5" x14ac:dyDescent="0.25">
      <c r="A63" s="469" t="s">
        <v>145</v>
      </c>
    </row>
    <row r="66" spans="1:5" x14ac:dyDescent="0.25">
      <c r="A66" s="469" t="s">
        <v>146</v>
      </c>
      <c r="B66" s="469" t="s">
        <v>80</v>
      </c>
      <c r="C66" s="471">
        <v>0</v>
      </c>
      <c r="D66" s="471">
        <v>0</v>
      </c>
      <c r="E66" s="471">
        <v>0</v>
      </c>
    </row>
    <row r="67" spans="1:5" x14ac:dyDescent="0.25">
      <c r="A67" s="469" t="s">
        <v>147</v>
      </c>
      <c r="B67" s="469" t="s">
        <v>81</v>
      </c>
      <c r="C67" s="471">
        <v>0</v>
      </c>
      <c r="D67" s="471">
        <v>0</v>
      </c>
      <c r="E67" s="471">
        <v>0</v>
      </c>
    </row>
    <row r="68" spans="1:5" x14ac:dyDescent="0.25">
      <c r="A68" s="469" t="s">
        <v>148</v>
      </c>
      <c r="B68" s="469" t="s">
        <v>82</v>
      </c>
      <c r="C68" s="471">
        <v>0</v>
      </c>
      <c r="D68" s="471">
        <v>0</v>
      </c>
      <c r="E68" s="471">
        <v>0</v>
      </c>
    </row>
    <row r="69" spans="1:5" x14ac:dyDescent="0.25">
      <c r="A69" s="469" t="s">
        <v>149</v>
      </c>
      <c r="B69" s="469" t="s">
        <v>83</v>
      </c>
      <c r="C69" s="471">
        <v>0</v>
      </c>
      <c r="D69" s="471">
        <v>0</v>
      </c>
      <c r="E69" s="471">
        <v>0</v>
      </c>
    </row>
    <row r="70" spans="1:5" x14ac:dyDescent="0.25">
      <c r="A70" s="472" t="s">
        <v>150</v>
      </c>
      <c r="B70" s="473"/>
      <c r="C70" s="474">
        <f>SUM(C66:C69)</f>
        <v>0</v>
      </c>
      <c r="D70" s="474">
        <f>SUM(D66:D69)</f>
        <v>0</v>
      </c>
      <c r="E70" s="474">
        <f>SUM(E66:E69)</f>
        <v>0</v>
      </c>
    </row>
    <row r="72" spans="1:5" x14ac:dyDescent="0.25">
      <c r="A72" s="469" t="s">
        <v>151</v>
      </c>
      <c r="B72" s="469" t="s">
        <v>40</v>
      </c>
      <c r="C72" s="471">
        <v>-40763056.25</v>
      </c>
      <c r="D72" s="471">
        <v>-6478408.46</v>
      </c>
      <c r="E72" s="471">
        <v>-47241464.710000001</v>
      </c>
    </row>
    <row r="73" spans="1:5" x14ac:dyDescent="0.25">
      <c r="A73" s="469" t="s">
        <v>152</v>
      </c>
      <c r="B73" s="469" t="s">
        <v>41</v>
      </c>
      <c r="C73" s="471">
        <v>-8736219.5999999996</v>
      </c>
      <c r="D73" s="471">
        <v>-1783679.64</v>
      </c>
      <c r="E73" s="471">
        <v>-10519899.24</v>
      </c>
    </row>
    <row r="74" spans="1:5" x14ac:dyDescent="0.25">
      <c r="A74" s="469" t="s">
        <v>153</v>
      </c>
      <c r="B74" s="469" t="s">
        <v>42</v>
      </c>
      <c r="C74" s="471">
        <v>-3381194.59</v>
      </c>
      <c r="D74" s="471">
        <v>-705598.31</v>
      </c>
      <c r="E74" s="471">
        <v>-4086792.9</v>
      </c>
    </row>
    <row r="75" spans="1:5" x14ac:dyDescent="0.25">
      <c r="A75" s="469" t="s">
        <v>154</v>
      </c>
      <c r="B75" s="469" t="s">
        <v>43</v>
      </c>
      <c r="C75" s="471">
        <v>-6925411.21</v>
      </c>
      <c r="D75" s="471">
        <v>-1960917.05</v>
      </c>
      <c r="E75" s="471">
        <v>-8886328.2599999998</v>
      </c>
    </row>
    <row r="76" spans="1:5" x14ac:dyDescent="0.25">
      <c r="A76" s="472" t="s">
        <v>155</v>
      </c>
      <c r="B76" s="473"/>
      <c r="C76" s="474">
        <f>SUM(C72:C75)</f>
        <v>-59805881.649999999</v>
      </c>
      <c r="D76" s="474">
        <f>SUM(D72:D75)</f>
        <v>-10928603.460000001</v>
      </c>
      <c r="E76" s="474">
        <f>SUM(E72:E75)</f>
        <v>-70734485.109999999</v>
      </c>
    </row>
    <row r="78" spans="1:5" x14ac:dyDescent="0.25">
      <c r="A78" s="469" t="s">
        <v>156</v>
      </c>
      <c r="B78" s="469" t="s">
        <v>157</v>
      </c>
      <c r="C78" s="471">
        <v>5856447.9500000002</v>
      </c>
      <c r="D78" s="471">
        <v>506654.4</v>
      </c>
      <c r="E78" s="471">
        <v>6363102.3499999996</v>
      </c>
    </row>
    <row r="79" spans="1:5" x14ac:dyDescent="0.25">
      <c r="A79" s="469" t="s">
        <v>158</v>
      </c>
      <c r="B79" s="469" t="s">
        <v>159</v>
      </c>
      <c r="C79" s="471">
        <v>5629271.9100000001</v>
      </c>
      <c r="D79" s="471">
        <v>1020154.43</v>
      </c>
      <c r="E79" s="471">
        <v>6649426.3399999999</v>
      </c>
    </row>
    <row r="80" spans="1:5" x14ac:dyDescent="0.25">
      <c r="A80" s="469" t="s">
        <v>160</v>
      </c>
      <c r="B80" s="469" t="s">
        <v>161</v>
      </c>
      <c r="C80" s="471">
        <v>163055.93</v>
      </c>
      <c r="D80" s="471">
        <v>55148.4</v>
      </c>
      <c r="E80" s="471">
        <v>218204.33</v>
      </c>
    </row>
    <row r="81" spans="1:5" x14ac:dyDescent="0.25">
      <c r="A81" s="469" t="s">
        <v>162</v>
      </c>
      <c r="B81" s="469" t="s">
        <v>163</v>
      </c>
      <c r="C81" s="471">
        <v>4068796.32</v>
      </c>
      <c r="D81" s="471">
        <v>727608.12</v>
      </c>
      <c r="E81" s="471">
        <v>4796404.4400000004</v>
      </c>
    </row>
    <row r="82" spans="1:5" x14ac:dyDescent="0.25">
      <c r="A82" s="472" t="s">
        <v>164</v>
      </c>
      <c r="B82" s="473"/>
      <c r="C82" s="474">
        <f>SUM(C78:C81)</f>
        <v>15717572.109999999</v>
      </c>
      <c r="D82" s="474">
        <f>SUM(D78:D81)</f>
        <v>2309565.35</v>
      </c>
      <c r="E82" s="474">
        <f>SUM(E78:E81)</f>
        <v>18027137.460000001</v>
      </c>
    </row>
    <row r="84" spans="1:5" x14ac:dyDescent="0.25">
      <c r="A84" s="472" t="s">
        <v>31</v>
      </c>
      <c r="B84" s="473"/>
      <c r="C84" s="474">
        <f>C14+C20+C26+C32+C44+C56+C62+C70+C76+C82+C50+C38+C60</f>
        <v>553634445.00000083</v>
      </c>
      <c r="D84" s="474">
        <f>D14+D20+D26+D32+D44+D56+D62+D70+D76+D82+D50+D38+D60</f>
        <v>140123704.91000009</v>
      </c>
      <c r="E84" s="474">
        <f>E14+E20+E26+E32+E44+E56+E62+E70+E76+E82+E50+E38+E60</f>
        <v>693758149.90999866</v>
      </c>
    </row>
  </sheetData>
  <pageMargins left="0.75" right="0.75" top="0.75" bottom="0.7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view="pageBreakPreview" zoomScale="67" zoomScaleNormal="100" zoomScaleSheetLayoutView="67" workbookViewId="0">
      <pane ySplit="8" topLeftCell="A50" activePane="bottomLeft" state="frozenSplit"/>
      <selection pane="bottomLeft" activeCell="D84" sqref="D84"/>
    </sheetView>
  </sheetViews>
  <sheetFormatPr defaultColWidth="9.109375" defaultRowHeight="15.6" x14ac:dyDescent="0.3"/>
  <cols>
    <col min="1" max="1" width="90.5546875" style="445" bestFit="1" customWidth="1"/>
    <col min="2" max="2" width="39.6640625" style="445" bestFit="1" customWidth="1"/>
    <col min="3" max="3" width="24.44140625" style="456" bestFit="1" customWidth="1"/>
    <col min="4" max="4" width="21.88671875" style="456" bestFit="1" customWidth="1"/>
    <col min="5" max="5" width="24" style="456" bestFit="1" customWidth="1"/>
    <col min="6" max="16384" width="9.109375" style="367"/>
  </cols>
  <sheetData>
    <row r="1" spans="1:5" x14ac:dyDescent="0.3">
      <c r="C1" s="446" t="s">
        <v>53</v>
      </c>
      <c r="D1" s="447"/>
      <c r="E1" s="447"/>
    </row>
    <row r="2" spans="1:5" x14ac:dyDescent="0.3">
      <c r="C2" s="448" t="s">
        <v>86</v>
      </c>
      <c r="D2" s="449"/>
      <c r="E2" s="449"/>
    </row>
    <row r="3" spans="1:5" x14ac:dyDescent="0.3">
      <c r="C3" s="446" t="s">
        <v>359</v>
      </c>
      <c r="D3" s="447"/>
      <c r="E3" s="447"/>
    </row>
    <row r="4" spans="1:5" x14ac:dyDescent="0.3">
      <c r="C4" s="446" t="s">
        <v>88</v>
      </c>
      <c r="D4" s="447"/>
      <c r="E4" s="447"/>
    </row>
    <row r="5" spans="1:5" x14ac:dyDescent="0.3">
      <c r="C5" s="450" t="s">
        <v>360</v>
      </c>
      <c r="D5" s="451"/>
      <c r="E5" s="451"/>
    </row>
    <row r="7" spans="1:5" x14ac:dyDescent="0.3">
      <c r="B7" s="452" t="s">
        <v>30</v>
      </c>
      <c r="C7" s="453" t="s">
        <v>90</v>
      </c>
      <c r="D7" s="453" t="s">
        <v>182</v>
      </c>
      <c r="E7" s="453" t="s">
        <v>92</v>
      </c>
    </row>
    <row r="9" spans="1:5" x14ac:dyDescent="0.3">
      <c r="A9" s="454" t="s">
        <v>93</v>
      </c>
      <c r="B9" s="454" t="s">
        <v>34</v>
      </c>
      <c r="C9" s="455">
        <v>1173960444.5999999</v>
      </c>
      <c r="D9" s="455">
        <v>205833119.08000001</v>
      </c>
      <c r="E9" s="455">
        <v>1379793563.6800001</v>
      </c>
    </row>
    <row r="10" spans="1:5" x14ac:dyDescent="0.3">
      <c r="A10" s="454" t="s">
        <v>94</v>
      </c>
      <c r="B10" s="454" t="s">
        <v>35</v>
      </c>
      <c r="C10" s="456">
        <v>2286664901.0500002</v>
      </c>
      <c r="D10" s="456">
        <v>380909694.69999999</v>
      </c>
      <c r="E10" s="456">
        <v>2667574595.75</v>
      </c>
    </row>
    <row r="11" spans="1:5" x14ac:dyDescent="0.3">
      <c r="A11" s="454" t="s">
        <v>95</v>
      </c>
      <c r="B11" s="454" t="s">
        <v>36</v>
      </c>
      <c r="C11" s="456">
        <v>1195409173.0699999</v>
      </c>
      <c r="D11" s="456">
        <v>207523625.34999999</v>
      </c>
      <c r="E11" s="456">
        <v>1402932798.4200001</v>
      </c>
    </row>
    <row r="12" spans="1:5" x14ac:dyDescent="0.3">
      <c r="A12" s="454" t="s">
        <v>96</v>
      </c>
      <c r="B12" s="454" t="s">
        <v>37</v>
      </c>
      <c r="C12" s="456">
        <v>47475335.859999999</v>
      </c>
      <c r="D12" s="456">
        <v>12416432.43</v>
      </c>
      <c r="E12" s="456">
        <v>59891768.289999999</v>
      </c>
    </row>
    <row r="13" spans="1:5" x14ac:dyDescent="0.3">
      <c r="A13" s="454" t="s">
        <v>97</v>
      </c>
      <c r="B13" s="454" t="s">
        <v>38</v>
      </c>
      <c r="C13" s="456">
        <v>0</v>
      </c>
      <c r="D13" s="456">
        <v>0</v>
      </c>
      <c r="E13" s="456">
        <v>0</v>
      </c>
    </row>
    <row r="14" spans="1:5" x14ac:dyDescent="0.3">
      <c r="A14" s="457" t="s">
        <v>98</v>
      </c>
      <c r="B14" s="458"/>
      <c r="C14" s="459">
        <f>SUM(C9:C13)</f>
        <v>4703509854.5799999</v>
      </c>
      <c r="D14" s="459">
        <f>SUM(D9:D13)</f>
        <v>806682871.55999994</v>
      </c>
      <c r="E14" s="459">
        <f>SUM(E9:E13)</f>
        <v>5510192726.1400003</v>
      </c>
    </row>
    <row r="16" spans="1:5" x14ac:dyDescent="0.3">
      <c r="A16" s="454" t="s">
        <v>99</v>
      </c>
      <c r="B16" s="454" t="s">
        <v>100</v>
      </c>
      <c r="C16" s="456">
        <v>754425.46</v>
      </c>
      <c r="D16" s="456">
        <v>168053.95</v>
      </c>
      <c r="E16" s="456">
        <v>922479.41</v>
      </c>
    </row>
    <row r="17" spans="1:5" x14ac:dyDescent="0.3">
      <c r="A17" s="454" t="s">
        <v>101</v>
      </c>
      <c r="B17" s="454" t="s">
        <v>102</v>
      </c>
      <c r="C17" s="456">
        <v>1472670.9</v>
      </c>
      <c r="D17" s="456">
        <v>311116</v>
      </c>
      <c r="E17" s="456">
        <v>1783786.9</v>
      </c>
    </row>
    <row r="18" spans="1:5" x14ac:dyDescent="0.3">
      <c r="A18" s="454" t="s">
        <v>103</v>
      </c>
      <c r="B18" s="454" t="s">
        <v>104</v>
      </c>
      <c r="C18" s="456">
        <v>1154945.97</v>
      </c>
      <c r="D18" s="456">
        <v>229775.13</v>
      </c>
      <c r="E18" s="456">
        <v>1384721.1</v>
      </c>
    </row>
    <row r="19" spans="1:5" x14ac:dyDescent="0.3">
      <c r="A19" s="454" t="s">
        <v>105</v>
      </c>
      <c r="B19" s="454" t="s">
        <v>106</v>
      </c>
      <c r="C19" s="456">
        <v>29628.95</v>
      </c>
      <c r="D19" s="456">
        <v>9817.93</v>
      </c>
      <c r="E19" s="456">
        <v>39446.879999999997</v>
      </c>
    </row>
    <row r="20" spans="1:5" x14ac:dyDescent="0.3">
      <c r="A20" s="457" t="s">
        <v>107</v>
      </c>
      <c r="B20" s="458"/>
      <c r="C20" s="459">
        <f>SUM(C16:C19)</f>
        <v>3411671.2800000003</v>
      </c>
      <c r="D20" s="459">
        <f>SUM(D16:D19)</f>
        <v>718763.01000000013</v>
      </c>
      <c r="E20" s="459">
        <f>SUM(E16:E19)</f>
        <v>4130434.29</v>
      </c>
    </row>
    <row r="22" spans="1:5" x14ac:dyDescent="0.3">
      <c r="A22" s="454" t="s">
        <v>108</v>
      </c>
      <c r="B22" s="454" t="s">
        <v>109</v>
      </c>
      <c r="C22" s="456">
        <v>-121811.38</v>
      </c>
      <c r="D22" s="456">
        <v>60009.67</v>
      </c>
      <c r="E22" s="456">
        <v>-61801.71</v>
      </c>
    </row>
    <row r="23" spans="1:5" x14ac:dyDescent="0.3">
      <c r="A23" s="454" t="s">
        <v>110</v>
      </c>
      <c r="B23" s="454" t="s">
        <v>111</v>
      </c>
      <c r="C23" s="456">
        <v>-228081.07</v>
      </c>
      <c r="D23" s="456">
        <v>111056.69</v>
      </c>
      <c r="E23" s="456">
        <v>-117024.38</v>
      </c>
    </row>
    <row r="24" spans="1:5" x14ac:dyDescent="0.3">
      <c r="A24" s="454" t="s">
        <v>112</v>
      </c>
      <c r="B24" s="454" t="s">
        <v>113</v>
      </c>
      <c r="C24" s="456">
        <v>-95459.54</v>
      </c>
      <c r="D24" s="456">
        <v>60574.22</v>
      </c>
      <c r="E24" s="456">
        <v>-34885.32</v>
      </c>
    </row>
    <row r="25" spans="1:5" x14ac:dyDescent="0.3">
      <c r="A25" s="454" t="s">
        <v>114</v>
      </c>
      <c r="B25" s="454" t="s">
        <v>115</v>
      </c>
      <c r="C25" s="456">
        <v>-4260.38</v>
      </c>
      <c r="D25" s="456">
        <v>3599.14</v>
      </c>
      <c r="E25" s="456">
        <v>-661.24</v>
      </c>
    </row>
    <row r="26" spans="1:5" x14ac:dyDescent="0.3">
      <c r="A26" s="457" t="s">
        <v>116</v>
      </c>
      <c r="B26" s="458"/>
      <c r="C26" s="459">
        <f>SUM(C22:C25)</f>
        <v>-449612.37</v>
      </c>
      <c r="D26" s="459">
        <f>SUM(D22:D25)</f>
        <v>235239.72</v>
      </c>
      <c r="E26" s="459">
        <f>SUM(E22:E25)</f>
        <v>-214372.65</v>
      </c>
    </row>
    <row r="28" spans="1:5" x14ac:dyDescent="0.3">
      <c r="A28" s="454" t="s">
        <v>117</v>
      </c>
      <c r="B28" s="454" t="s">
        <v>118</v>
      </c>
      <c r="C28" s="456">
        <v>764.5</v>
      </c>
      <c r="D28" s="456">
        <v>255.1</v>
      </c>
      <c r="E28" s="456">
        <v>1019.6</v>
      </c>
    </row>
    <row r="29" spans="1:5" x14ac:dyDescent="0.3">
      <c r="A29" s="454" t="s">
        <v>119</v>
      </c>
      <c r="B29" s="454" t="s">
        <v>120</v>
      </c>
      <c r="C29" s="456">
        <v>1493.2</v>
      </c>
      <c r="D29" s="456">
        <v>472.1</v>
      </c>
      <c r="E29" s="456">
        <v>1965.3</v>
      </c>
    </row>
    <row r="30" spans="1:5" x14ac:dyDescent="0.3">
      <c r="A30" s="454" t="s">
        <v>121</v>
      </c>
      <c r="B30" s="454" t="s">
        <v>122</v>
      </c>
      <c r="C30" s="456">
        <v>710</v>
      </c>
      <c r="D30" s="456">
        <v>257.5</v>
      </c>
      <c r="E30" s="456">
        <v>967.5</v>
      </c>
    </row>
    <row r="31" spans="1:5" x14ac:dyDescent="0.3">
      <c r="A31" s="454" t="s">
        <v>123</v>
      </c>
      <c r="B31" s="454" t="s">
        <v>124</v>
      </c>
      <c r="C31" s="456">
        <v>32.299999999999997</v>
      </c>
      <c r="D31" s="456">
        <v>15.3</v>
      </c>
      <c r="E31" s="456">
        <v>47.6</v>
      </c>
    </row>
    <row r="32" spans="1:5" x14ac:dyDescent="0.3">
      <c r="A32" s="457" t="s">
        <v>125</v>
      </c>
      <c r="B32" s="458"/>
      <c r="C32" s="459">
        <f>SUM(C28:C31)</f>
        <v>3000</v>
      </c>
      <c r="D32" s="459">
        <f>SUM(D28:D31)</f>
        <v>1000</v>
      </c>
      <c r="E32" s="459">
        <f>SUM(E28:E31)</f>
        <v>4000</v>
      </c>
    </row>
    <row r="34" spans="1:5" x14ac:dyDescent="0.3">
      <c r="A34" s="454" t="s">
        <v>317</v>
      </c>
      <c r="B34" s="454" t="s">
        <v>318</v>
      </c>
      <c r="C34" s="456">
        <v>0</v>
      </c>
      <c r="D34" s="456">
        <v>0</v>
      </c>
      <c r="E34" s="456">
        <v>0</v>
      </c>
    </row>
    <row r="35" spans="1:5" x14ac:dyDescent="0.3">
      <c r="A35" s="454" t="s">
        <v>319</v>
      </c>
      <c r="B35" s="454" t="s">
        <v>320</v>
      </c>
      <c r="C35" s="456">
        <v>0</v>
      </c>
      <c r="D35" s="456">
        <v>0</v>
      </c>
      <c r="E35" s="456">
        <v>0</v>
      </c>
    </row>
    <row r="36" spans="1:5" x14ac:dyDescent="0.3">
      <c r="A36" s="454" t="s">
        <v>321</v>
      </c>
      <c r="B36" s="454" t="s">
        <v>322</v>
      </c>
      <c r="C36" s="456">
        <v>0</v>
      </c>
      <c r="D36" s="456">
        <v>0</v>
      </c>
      <c r="E36" s="456">
        <v>0</v>
      </c>
    </row>
    <row r="37" spans="1:5" x14ac:dyDescent="0.3">
      <c r="A37" s="454" t="s">
        <v>323</v>
      </c>
      <c r="B37" s="454" t="s">
        <v>324</v>
      </c>
      <c r="C37" s="456">
        <v>0</v>
      </c>
      <c r="D37" s="456">
        <v>0</v>
      </c>
      <c r="E37" s="456">
        <v>0</v>
      </c>
    </row>
    <row r="38" spans="1:5" x14ac:dyDescent="0.3">
      <c r="A38" s="457" t="s">
        <v>325</v>
      </c>
      <c r="B38" s="458"/>
      <c r="C38" s="459">
        <f>SUM(C34:C37)</f>
        <v>0</v>
      </c>
      <c r="D38" s="459">
        <f>SUM(D34:D37)</f>
        <v>0</v>
      </c>
      <c r="E38" s="459">
        <f>SUM(E34:E37)</f>
        <v>0</v>
      </c>
    </row>
    <row r="40" spans="1:5" x14ac:dyDescent="0.3">
      <c r="A40" s="454" t="s">
        <v>126</v>
      </c>
      <c r="B40" s="454" t="s">
        <v>347</v>
      </c>
      <c r="C40" s="456">
        <v>-7130497.1600000001</v>
      </c>
      <c r="D40" s="456">
        <v>-13689.12</v>
      </c>
      <c r="E40" s="456">
        <v>-7144186.2800000003</v>
      </c>
    </row>
    <row r="41" spans="1:5" x14ac:dyDescent="0.3">
      <c r="A41" s="454" t="s">
        <v>128</v>
      </c>
      <c r="B41" s="454" t="s">
        <v>348</v>
      </c>
      <c r="C41" s="456">
        <v>-13837376.460000001</v>
      </c>
      <c r="D41" s="456">
        <v>-23936.25</v>
      </c>
      <c r="E41" s="456">
        <v>-13861312.710000001</v>
      </c>
    </row>
    <row r="42" spans="1:5" x14ac:dyDescent="0.3">
      <c r="A42" s="454" t="s">
        <v>130</v>
      </c>
      <c r="B42" s="454" t="s">
        <v>349</v>
      </c>
      <c r="C42" s="456">
        <v>-6723005.25</v>
      </c>
      <c r="D42" s="456">
        <v>-12980.42</v>
      </c>
      <c r="E42" s="456">
        <v>-6735985.6699999999</v>
      </c>
    </row>
    <row r="43" spans="1:5" x14ac:dyDescent="0.3">
      <c r="A43" s="454" t="s">
        <v>132</v>
      </c>
      <c r="B43" s="454" t="s">
        <v>350</v>
      </c>
      <c r="C43" s="456">
        <v>-279316.02</v>
      </c>
      <c r="D43" s="456">
        <v>-1039.98</v>
      </c>
      <c r="E43" s="456">
        <v>-280356</v>
      </c>
    </row>
    <row r="44" spans="1:5" x14ac:dyDescent="0.3">
      <c r="A44" s="457" t="s">
        <v>134</v>
      </c>
      <c r="B44" s="458"/>
      <c r="C44" s="459">
        <f>SUM(C40:C43)</f>
        <v>-27970194.890000001</v>
      </c>
      <c r="D44" s="459">
        <f>SUM(D40:D43)</f>
        <v>-51645.770000000004</v>
      </c>
      <c r="E44" s="459">
        <f>SUM(E40:E43)</f>
        <v>-28021840.660000004</v>
      </c>
    </row>
    <row r="46" spans="1:5" x14ac:dyDescent="0.3">
      <c r="A46" s="454" t="s">
        <v>326</v>
      </c>
      <c r="B46" s="454" t="s">
        <v>327</v>
      </c>
      <c r="C46" s="456">
        <v>0</v>
      </c>
      <c r="D46" s="456">
        <v>0</v>
      </c>
      <c r="E46" s="456">
        <v>0</v>
      </c>
    </row>
    <row r="47" spans="1:5" x14ac:dyDescent="0.3">
      <c r="A47" s="454" t="s">
        <v>328</v>
      </c>
      <c r="B47" s="454" t="s">
        <v>329</v>
      </c>
      <c r="C47" s="456">
        <v>11326557</v>
      </c>
      <c r="D47" s="456">
        <v>1819149</v>
      </c>
      <c r="E47" s="456">
        <v>13145706</v>
      </c>
    </row>
    <row r="48" spans="1:5" x14ac:dyDescent="0.3">
      <c r="A48" s="454" t="s">
        <v>330</v>
      </c>
      <c r="B48" s="454" t="s">
        <v>331</v>
      </c>
      <c r="C48" s="456">
        <v>-29139446</v>
      </c>
      <c r="D48" s="456">
        <v>-3020654</v>
      </c>
      <c r="E48" s="456">
        <v>-32160100</v>
      </c>
    </row>
    <row r="49" spans="1:5" x14ac:dyDescent="0.3">
      <c r="A49" s="454" t="s">
        <v>332</v>
      </c>
      <c r="B49" s="454" t="s">
        <v>333</v>
      </c>
      <c r="C49" s="456">
        <v>0</v>
      </c>
      <c r="D49" s="456">
        <v>0</v>
      </c>
      <c r="E49" s="456">
        <v>0</v>
      </c>
    </row>
    <row r="50" spans="1:5" x14ac:dyDescent="0.3">
      <c r="A50" s="457" t="s">
        <v>334</v>
      </c>
      <c r="B50" s="458"/>
      <c r="C50" s="459">
        <f>SUM(C46:C49)</f>
        <v>-17812889</v>
      </c>
      <c r="D50" s="459">
        <f>SUM(D46:D49)</f>
        <v>-1201505</v>
      </c>
      <c r="E50" s="459">
        <f>SUM(E46:E49)</f>
        <v>-19014394</v>
      </c>
    </row>
    <row r="52" spans="1:5" x14ac:dyDescent="0.3">
      <c r="A52" s="454" t="s">
        <v>135</v>
      </c>
      <c r="B52" s="454" t="s">
        <v>136</v>
      </c>
      <c r="C52" s="456">
        <v>-964350792.60000002</v>
      </c>
      <c r="D52" s="456">
        <v>-188521172.16</v>
      </c>
      <c r="E52" s="456">
        <v>-1152871964.76</v>
      </c>
    </row>
    <row r="53" spans="1:5" x14ac:dyDescent="0.3">
      <c r="A53" s="454" t="s">
        <v>137</v>
      </c>
      <c r="B53" s="454" t="s">
        <v>138</v>
      </c>
      <c r="C53" s="456">
        <v>-2034971706.3800001</v>
      </c>
      <c r="D53" s="456">
        <v>-338433645.50999999</v>
      </c>
      <c r="E53" s="456">
        <v>-2373405351.8899999</v>
      </c>
    </row>
    <row r="54" spans="1:5" x14ac:dyDescent="0.3">
      <c r="A54" s="454" t="s">
        <v>139</v>
      </c>
      <c r="B54" s="454" t="s">
        <v>140</v>
      </c>
      <c r="C54" s="456">
        <v>-1026938819.17</v>
      </c>
      <c r="D54" s="456">
        <v>-180368509.21000001</v>
      </c>
      <c r="E54" s="456">
        <v>-1207307328.3800001</v>
      </c>
    </row>
    <row r="55" spans="1:5" x14ac:dyDescent="0.3">
      <c r="A55" s="454" t="s">
        <v>141</v>
      </c>
      <c r="B55" s="454" t="s">
        <v>142</v>
      </c>
      <c r="C55" s="456">
        <v>-62526345.68</v>
      </c>
      <c r="D55" s="456">
        <v>-10617627.960000001</v>
      </c>
      <c r="E55" s="456">
        <v>-73143973.640000001</v>
      </c>
    </row>
    <row r="56" spans="1:5" x14ac:dyDescent="0.3">
      <c r="A56" s="457" t="s">
        <v>143</v>
      </c>
      <c r="B56" s="458"/>
      <c r="C56" s="459">
        <f>SUM(C52:C55)</f>
        <v>-4088787663.8299999</v>
      </c>
      <c r="D56" s="459">
        <f>SUM(D52:D55)</f>
        <v>-717940954.84000003</v>
      </c>
      <c r="E56" s="459">
        <f>SUM(E52:E55)</f>
        <v>-4806728618.6700001</v>
      </c>
    </row>
    <row r="58" spans="1:5" x14ac:dyDescent="0.3">
      <c r="A58" s="454" t="s">
        <v>351</v>
      </c>
      <c r="B58" s="454" t="s">
        <v>352</v>
      </c>
      <c r="C58" s="456">
        <v>-67705713.609999999</v>
      </c>
      <c r="D58" s="456">
        <v>5081074.3600000003</v>
      </c>
      <c r="E58" s="456">
        <v>-62624639.25</v>
      </c>
    </row>
    <row r="59" spans="1:5" x14ac:dyDescent="0.3">
      <c r="A59" s="454" t="s">
        <v>353</v>
      </c>
      <c r="B59" s="454" t="s">
        <v>354</v>
      </c>
      <c r="C59" s="456">
        <v>-540.66</v>
      </c>
      <c r="D59" s="456">
        <v>0</v>
      </c>
      <c r="E59" s="456">
        <v>-540.66</v>
      </c>
    </row>
    <row r="60" spans="1:5" x14ac:dyDescent="0.3">
      <c r="C60" s="456">
        <f>SUM(C58:C59)</f>
        <v>-67706254.269999996</v>
      </c>
      <c r="D60" s="456">
        <f>SUM(D58:D59)</f>
        <v>5081074.3600000003</v>
      </c>
      <c r="E60" s="456">
        <f>SUM(E58:E59)</f>
        <v>-62625179.909999996</v>
      </c>
    </row>
    <row r="62" spans="1:5" x14ac:dyDescent="0.3">
      <c r="A62" s="457" t="s">
        <v>144</v>
      </c>
      <c r="B62" s="457" t="s">
        <v>39</v>
      </c>
      <c r="C62" s="459">
        <v>0</v>
      </c>
      <c r="D62" s="459">
        <v>0</v>
      </c>
      <c r="E62" s="459">
        <v>0</v>
      </c>
    </row>
    <row r="63" spans="1:5" x14ac:dyDescent="0.3">
      <c r="A63" s="454" t="s">
        <v>145</v>
      </c>
    </row>
    <row r="66" spans="1:5" x14ac:dyDescent="0.3">
      <c r="A66" s="454" t="s">
        <v>146</v>
      </c>
      <c r="B66" s="454" t="s">
        <v>80</v>
      </c>
      <c r="C66" s="456">
        <v>0</v>
      </c>
      <c r="D66" s="456">
        <v>0</v>
      </c>
      <c r="E66" s="456">
        <v>0</v>
      </c>
    </row>
    <row r="67" spans="1:5" x14ac:dyDescent="0.3">
      <c r="A67" s="454" t="s">
        <v>147</v>
      </c>
      <c r="B67" s="454" t="s">
        <v>81</v>
      </c>
      <c r="C67" s="456">
        <v>0</v>
      </c>
      <c r="D67" s="456">
        <v>0</v>
      </c>
      <c r="E67" s="456">
        <v>0</v>
      </c>
    </row>
    <row r="68" spans="1:5" x14ac:dyDescent="0.3">
      <c r="A68" s="454" t="s">
        <v>148</v>
      </c>
      <c r="B68" s="454" t="s">
        <v>82</v>
      </c>
      <c r="C68" s="456">
        <v>0</v>
      </c>
      <c r="D68" s="456">
        <v>0</v>
      </c>
      <c r="E68" s="456">
        <v>0</v>
      </c>
    </row>
    <row r="69" spans="1:5" x14ac:dyDescent="0.3">
      <c r="A69" s="454" t="s">
        <v>149</v>
      </c>
      <c r="B69" s="454" t="s">
        <v>83</v>
      </c>
      <c r="C69" s="456">
        <v>0</v>
      </c>
      <c r="D69" s="456">
        <v>0</v>
      </c>
      <c r="E69" s="456">
        <v>0</v>
      </c>
    </row>
    <row r="70" spans="1:5" x14ac:dyDescent="0.3">
      <c r="A70" s="457" t="s">
        <v>150</v>
      </c>
      <c r="B70" s="458"/>
      <c r="C70" s="459">
        <f>SUM(C66:C69)</f>
        <v>0</v>
      </c>
      <c r="D70" s="459">
        <f>SUM(D66:D69)</f>
        <v>0</v>
      </c>
      <c r="E70" s="459">
        <f>SUM(E66:E69)</f>
        <v>0</v>
      </c>
    </row>
    <row r="72" spans="1:5" x14ac:dyDescent="0.3">
      <c r="A72" s="454" t="s">
        <v>151</v>
      </c>
      <c r="B72" s="454" t="s">
        <v>40</v>
      </c>
      <c r="C72" s="456">
        <v>-35570485.329999998</v>
      </c>
      <c r="D72" s="456">
        <v>-5192570.92</v>
      </c>
      <c r="E72" s="456">
        <v>-40763056.25</v>
      </c>
    </row>
    <row r="73" spans="1:5" x14ac:dyDescent="0.3">
      <c r="A73" s="454" t="s">
        <v>152</v>
      </c>
      <c r="B73" s="454" t="s">
        <v>41</v>
      </c>
      <c r="C73" s="456">
        <v>-7581600.1799999997</v>
      </c>
      <c r="D73" s="456">
        <v>-1154619.42</v>
      </c>
      <c r="E73" s="456">
        <v>-8736219.5999999996</v>
      </c>
    </row>
    <row r="74" spans="1:5" x14ac:dyDescent="0.3">
      <c r="A74" s="454" t="s">
        <v>153</v>
      </c>
      <c r="B74" s="454" t="s">
        <v>42</v>
      </c>
      <c r="C74" s="456">
        <v>-2884127.02</v>
      </c>
      <c r="D74" s="456">
        <v>-497067.57</v>
      </c>
      <c r="E74" s="456">
        <v>-3381194.59</v>
      </c>
    </row>
    <row r="75" spans="1:5" x14ac:dyDescent="0.3">
      <c r="A75" s="454" t="s">
        <v>154</v>
      </c>
      <c r="B75" s="454" t="s">
        <v>43</v>
      </c>
      <c r="C75" s="456">
        <v>-6457096.7199999997</v>
      </c>
      <c r="D75" s="456">
        <v>-468314.49</v>
      </c>
      <c r="E75" s="456">
        <v>-6925411.21</v>
      </c>
    </row>
    <row r="76" spans="1:5" x14ac:dyDescent="0.3">
      <c r="A76" s="457" t="s">
        <v>155</v>
      </c>
      <c r="B76" s="458"/>
      <c r="C76" s="459">
        <f>SUM(C72:C75)</f>
        <v>-52493309.25</v>
      </c>
      <c r="D76" s="459">
        <f>SUM(D72:D75)</f>
        <v>-7312572.4000000004</v>
      </c>
      <c r="E76" s="459">
        <f>SUM(E72:E75)</f>
        <v>-59805881.649999999</v>
      </c>
    </row>
    <row r="78" spans="1:5" x14ac:dyDescent="0.3">
      <c r="A78" s="454" t="s">
        <v>156</v>
      </c>
      <c r="B78" s="454" t="s">
        <v>157</v>
      </c>
      <c r="C78" s="456">
        <v>2396654.35</v>
      </c>
      <c r="D78" s="456">
        <v>3459793.6</v>
      </c>
      <c r="E78" s="456">
        <v>5856447.9500000002</v>
      </c>
    </row>
    <row r="79" spans="1:5" x14ac:dyDescent="0.3">
      <c r="A79" s="454" t="s">
        <v>158</v>
      </c>
      <c r="B79" s="454" t="s">
        <v>159</v>
      </c>
      <c r="C79" s="456">
        <v>6422885.8600000003</v>
      </c>
      <c r="D79" s="456">
        <v>-793613.95</v>
      </c>
      <c r="E79" s="456">
        <v>5629271.9100000001</v>
      </c>
    </row>
    <row r="80" spans="1:5" x14ac:dyDescent="0.3">
      <c r="A80" s="454" t="s">
        <v>160</v>
      </c>
      <c r="B80" s="454" t="s">
        <v>161</v>
      </c>
      <c r="C80" s="456">
        <v>332107.57</v>
      </c>
      <c r="D80" s="456">
        <v>-169051.64</v>
      </c>
      <c r="E80" s="456">
        <v>163055.93</v>
      </c>
    </row>
    <row r="81" spans="1:5" x14ac:dyDescent="0.3">
      <c r="A81" s="454" t="s">
        <v>162</v>
      </c>
      <c r="B81" s="454" t="s">
        <v>163</v>
      </c>
      <c r="C81" s="456">
        <v>4346335.34</v>
      </c>
      <c r="D81" s="456">
        <v>-277539.02</v>
      </c>
      <c r="E81" s="456">
        <v>4068796.32</v>
      </c>
    </row>
    <row r="82" spans="1:5" x14ac:dyDescent="0.3">
      <c r="A82" s="457" t="s">
        <v>164</v>
      </c>
      <c r="B82" s="458"/>
      <c r="C82" s="459">
        <f>SUM(C78:C81)</f>
        <v>13497983.120000001</v>
      </c>
      <c r="D82" s="459">
        <f>SUM(D78:D81)</f>
        <v>2219588.9900000002</v>
      </c>
      <c r="E82" s="459">
        <f>SUM(E78:E81)</f>
        <v>15717572.109999999</v>
      </c>
    </row>
    <row r="84" spans="1:5" x14ac:dyDescent="0.3">
      <c r="A84" s="457" t="s">
        <v>31</v>
      </c>
      <c r="B84" s="458"/>
      <c r="C84" s="459">
        <f>C14+C20+C26+C32+C44+C56+C62+C70+C76+C82+C50+C38+C60</f>
        <v>465202585.36999953</v>
      </c>
      <c r="D84" s="459">
        <f>D14+D20+D26+D32+D44+D56+D62+D70+D76+D82+D50+D38+D60</f>
        <v>88431859.629999936</v>
      </c>
      <c r="E84" s="459">
        <f>E14+E20+E26+E32+E44+E56+E62+E70+E76+E82+E50+E38+E60</f>
        <v>553634445.00000083</v>
      </c>
    </row>
  </sheetData>
  <pageMargins left="0.75" right="0.75" top="0.75" bottom="0.75" header="0.5" footer="0.5"/>
  <pageSetup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1" activePane="bottomLeft" state="frozenSplit"/>
      <selection pane="bottomLeft" activeCell="E80" sqref="E80"/>
    </sheetView>
  </sheetViews>
  <sheetFormatPr defaultColWidth="9.109375" defaultRowHeight="13.2" x14ac:dyDescent="0.25"/>
  <cols>
    <col min="1" max="1" width="30.6640625" style="475" customWidth="1"/>
    <col min="2" max="2" width="33.6640625" style="475" customWidth="1"/>
    <col min="3" max="5" width="22.6640625" style="486" customWidth="1"/>
    <col min="6" max="16384" width="9.109375" style="475"/>
  </cols>
  <sheetData>
    <row r="1" spans="1:5" x14ac:dyDescent="0.25">
      <c r="C1" s="476" t="s">
        <v>53</v>
      </c>
      <c r="D1" s="477"/>
      <c r="E1" s="477"/>
    </row>
    <row r="2" spans="1:5" x14ac:dyDescent="0.25">
      <c r="C2" s="478" t="s">
        <v>86</v>
      </c>
      <c r="D2" s="479"/>
      <c r="E2" s="479"/>
    </row>
    <row r="3" spans="1:5" x14ac:dyDescent="0.25">
      <c r="C3" s="476" t="s">
        <v>359</v>
      </c>
      <c r="D3" s="477"/>
      <c r="E3" s="477"/>
    </row>
    <row r="4" spans="1:5" x14ac:dyDescent="0.25">
      <c r="C4" s="476" t="s">
        <v>88</v>
      </c>
      <c r="D4" s="477"/>
      <c r="E4" s="477"/>
    </row>
    <row r="5" spans="1:5" x14ac:dyDescent="0.25">
      <c r="C5" s="480" t="s">
        <v>364</v>
      </c>
      <c r="D5" s="481"/>
      <c r="E5" s="481"/>
    </row>
    <row r="7" spans="1:5" x14ac:dyDescent="0.25">
      <c r="B7" s="482" t="s">
        <v>30</v>
      </c>
      <c r="C7" s="483" t="s">
        <v>90</v>
      </c>
      <c r="D7" s="483" t="s">
        <v>182</v>
      </c>
      <c r="E7" s="483" t="s">
        <v>92</v>
      </c>
    </row>
    <row r="9" spans="1:5" x14ac:dyDescent="0.25">
      <c r="A9" s="484" t="s">
        <v>93</v>
      </c>
      <c r="B9" s="484" t="s">
        <v>34</v>
      </c>
      <c r="C9" s="485">
        <v>1173960444.5999999</v>
      </c>
      <c r="D9" s="485">
        <v>205833119.08000001</v>
      </c>
      <c r="E9" s="485">
        <v>1379793563.6800001</v>
      </c>
    </row>
    <row r="10" spans="1:5" x14ac:dyDescent="0.25">
      <c r="A10" s="484" t="s">
        <v>94</v>
      </c>
      <c r="B10" s="484" t="s">
        <v>35</v>
      </c>
      <c r="C10" s="486">
        <v>2286664901.0500002</v>
      </c>
      <c r="D10" s="486">
        <v>380909694.69999999</v>
      </c>
      <c r="E10" s="486">
        <v>2667574595.75</v>
      </c>
    </row>
    <row r="11" spans="1:5" x14ac:dyDescent="0.25">
      <c r="A11" s="484" t="s">
        <v>95</v>
      </c>
      <c r="B11" s="484" t="s">
        <v>36</v>
      </c>
      <c r="C11" s="486">
        <v>1195409173.0699999</v>
      </c>
      <c r="D11" s="486">
        <v>207523625.34999999</v>
      </c>
      <c r="E11" s="486">
        <v>1402932798.4200001</v>
      </c>
    </row>
    <row r="12" spans="1:5" x14ac:dyDescent="0.25">
      <c r="A12" s="484" t="s">
        <v>96</v>
      </c>
      <c r="B12" s="484" t="s">
        <v>37</v>
      </c>
      <c r="C12" s="486">
        <v>47475335.859999999</v>
      </c>
      <c r="D12" s="486">
        <v>12416432.43</v>
      </c>
      <c r="E12" s="486">
        <v>59891768.289999999</v>
      </c>
    </row>
    <row r="13" spans="1:5" x14ac:dyDescent="0.25">
      <c r="A13" s="484" t="s">
        <v>97</v>
      </c>
      <c r="B13" s="484" t="s">
        <v>38</v>
      </c>
      <c r="C13" s="486">
        <v>0</v>
      </c>
      <c r="D13" s="486">
        <v>0</v>
      </c>
      <c r="E13" s="486">
        <v>0</v>
      </c>
    </row>
    <row r="14" spans="1:5" x14ac:dyDescent="0.25">
      <c r="A14" s="487" t="s">
        <v>98</v>
      </c>
      <c r="B14" s="488"/>
      <c r="C14" s="489">
        <f>SUM(C9:C13)</f>
        <v>4703509854.5799999</v>
      </c>
      <c r="D14" s="489">
        <f>SUM(D9:D13)</f>
        <v>806682871.55999994</v>
      </c>
      <c r="E14" s="489">
        <f>SUM(E9:E13)</f>
        <v>5510192726.1400003</v>
      </c>
    </row>
    <row r="16" spans="1:5" x14ac:dyDescent="0.25">
      <c r="A16" s="484" t="s">
        <v>99</v>
      </c>
      <c r="B16" s="484" t="s">
        <v>100</v>
      </c>
      <c r="C16" s="486">
        <v>754425.46</v>
      </c>
      <c r="D16" s="486">
        <v>168053.95</v>
      </c>
      <c r="E16" s="486">
        <v>922479.41</v>
      </c>
    </row>
    <row r="17" spans="1:5" x14ac:dyDescent="0.25">
      <c r="A17" s="484" t="s">
        <v>101</v>
      </c>
      <c r="B17" s="484" t="s">
        <v>102</v>
      </c>
      <c r="C17" s="486">
        <v>1472670.9</v>
      </c>
      <c r="D17" s="486">
        <v>311116</v>
      </c>
      <c r="E17" s="486">
        <v>1783786.9</v>
      </c>
    </row>
    <row r="18" spans="1:5" x14ac:dyDescent="0.25">
      <c r="A18" s="484" t="s">
        <v>103</v>
      </c>
      <c r="B18" s="484" t="s">
        <v>104</v>
      </c>
      <c r="C18" s="486">
        <v>1154945.97</v>
      </c>
      <c r="D18" s="486">
        <v>229775.13</v>
      </c>
      <c r="E18" s="486">
        <v>1384721.1</v>
      </c>
    </row>
    <row r="19" spans="1:5" x14ac:dyDescent="0.25">
      <c r="A19" s="484" t="s">
        <v>105</v>
      </c>
      <c r="B19" s="484" t="s">
        <v>106</v>
      </c>
      <c r="C19" s="486">
        <v>29628.95</v>
      </c>
      <c r="D19" s="486">
        <v>9817.93</v>
      </c>
      <c r="E19" s="486">
        <v>39446.879999999997</v>
      </c>
    </row>
    <row r="20" spans="1:5" x14ac:dyDescent="0.25">
      <c r="A20" s="487" t="s">
        <v>107</v>
      </c>
      <c r="B20" s="488"/>
      <c r="C20" s="489">
        <f>SUM(C16:C19)</f>
        <v>3411671.2800000003</v>
      </c>
      <c r="D20" s="489">
        <f>SUM(D16:D19)</f>
        <v>718763.01000000013</v>
      </c>
      <c r="E20" s="489">
        <f>SUM(E16:E19)</f>
        <v>4130434.29</v>
      </c>
    </row>
    <row r="22" spans="1:5" x14ac:dyDescent="0.25">
      <c r="A22" s="484" t="s">
        <v>108</v>
      </c>
      <c r="B22" s="484" t="s">
        <v>109</v>
      </c>
      <c r="C22" s="486">
        <v>-121811.38</v>
      </c>
      <c r="D22" s="486">
        <v>60009.67</v>
      </c>
      <c r="E22" s="486">
        <v>-61801.71</v>
      </c>
    </row>
    <row r="23" spans="1:5" x14ac:dyDescent="0.25">
      <c r="A23" s="484" t="s">
        <v>110</v>
      </c>
      <c r="B23" s="484" t="s">
        <v>111</v>
      </c>
      <c r="C23" s="486">
        <v>-228081.07</v>
      </c>
      <c r="D23" s="486">
        <v>111056.69</v>
      </c>
      <c r="E23" s="486">
        <v>-117024.38</v>
      </c>
    </row>
    <row r="24" spans="1:5" x14ac:dyDescent="0.25">
      <c r="A24" s="484" t="s">
        <v>112</v>
      </c>
      <c r="B24" s="484" t="s">
        <v>113</v>
      </c>
      <c r="C24" s="486">
        <v>-95459.54</v>
      </c>
      <c r="D24" s="486">
        <v>60574.22</v>
      </c>
      <c r="E24" s="486">
        <v>-34885.32</v>
      </c>
    </row>
    <row r="25" spans="1:5" x14ac:dyDescent="0.25">
      <c r="A25" s="484" t="s">
        <v>114</v>
      </c>
      <c r="B25" s="484" t="s">
        <v>115</v>
      </c>
      <c r="C25" s="486">
        <v>-4260.38</v>
      </c>
      <c r="D25" s="486">
        <v>3599.14</v>
      </c>
      <c r="E25" s="486">
        <v>-661.24</v>
      </c>
    </row>
    <row r="26" spans="1:5" x14ac:dyDescent="0.25">
      <c r="A26" s="487" t="s">
        <v>116</v>
      </c>
      <c r="B26" s="488"/>
      <c r="C26" s="489">
        <f>SUM(C22:C25)</f>
        <v>-449612.37</v>
      </c>
      <c r="D26" s="489">
        <f>SUM(D22:D25)</f>
        <v>235239.72</v>
      </c>
      <c r="E26" s="489">
        <f>SUM(E22:E25)</f>
        <v>-214372.65</v>
      </c>
    </row>
    <row r="28" spans="1:5" x14ac:dyDescent="0.25">
      <c r="A28" s="484" t="s">
        <v>117</v>
      </c>
      <c r="B28" s="484" t="s">
        <v>118</v>
      </c>
      <c r="C28" s="486">
        <v>764.5</v>
      </c>
      <c r="D28" s="486">
        <v>255.1</v>
      </c>
      <c r="E28" s="486">
        <v>1019.6</v>
      </c>
    </row>
    <row r="29" spans="1:5" x14ac:dyDescent="0.25">
      <c r="A29" s="484" t="s">
        <v>119</v>
      </c>
      <c r="B29" s="484" t="s">
        <v>120</v>
      </c>
      <c r="C29" s="486">
        <v>1493.2</v>
      </c>
      <c r="D29" s="486">
        <v>472.1</v>
      </c>
      <c r="E29" s="486">
        <v>1965.3</v>
      </c>
    </row>
    <row r="30" spans="1:5" x14ac:dyDescent="0.25">
      <c r="A30" s="484" t="s">
        <v>121</v>
      </c>
      <c r="B30" s="484" t="s">
        <v>122</v>
      </c>
      <c r="C30" s="486">
        <v>710</v>
      </c>
      <c r="D30" s="486">
        <v>257.5</v>
      </c>
      <c r="E30" s="486">
        <v>967.5</v>
      </c>
    </row>
    <row r="31" spans="1:5" x14ac:dyDescent="0.25">
      <c r="A31" s="484" t="s">
        <v>123</v>
      </c>
      <c r="B31" s="484" t="s">
        <v>124</v>
      </c>
      <c r="C31" s="486">
        <v>32.299999999999997</v>
      </c>
      <c r="D31" s="486">
        <v>15.3</v>
      </c>
      <c r="E31" s="486">
        <v>47.6</v>
      </c>
    </row>
    <row r="32" spans="1:5" x14ac:dyDescent="0.25">
      <c r="A32" s="487" t="s">
        <v>125</v>
      </c>
      <c r="B32" s="488"/>
      <c r="C32" s="489">
        <f>SUM(C28:C31)</f>
        <v>3000</v>
      </c>
      <c r="D32" s="489">
        <f>SUM(D28:D31)</f>
        <v>1000</v>
      </c>
      <c r="E32" s="489">
        <f>SUM(E28:E31)</f>
        <v>4000</v>
      </c>
    </row>
    <row r="34" spans="1:5" x14ac:dyDescent="0.25">
      <c r="A34" s="484" t="s">
        <v>317</v>
      </c>
      <c r="B34" s="484" t="s">
        <v>318</v>
      </c>
      <c r="C34" s="486">
        <v>0</v>
      </c>
      <c r="D34" s="486">
        <v>0</v>
      </c>
      <c r="E34" s="486">
        <v>0</v>
      </c>
    </row>
    <row r="35" spans="1:5" x14ac:dyDescent="0.25">
      <c r="A35" s="484" t="s">
        <v>319</v>
      </c>
      <c r="B35" s="484" t="s">
        <v>320</v>
      </c>
      <c r="C35" s="486">
        <v>0</v>
      </c>
      <c r="D35" s="486">
        <v>0</v>
      </c>
      <c r="E35" s="486">
        <v>0</v>
      </c>
    </row>
    <row r="36" spans="1:5" x14ac:dyDescent="0.25">
      <c r="A36" s="484" t="s">
        <v>321</v>
      </c>
      <c r="B36" s="484" t="s">
        <v>322</v>
      </c>
      <c r="C36" s="486">
        <v>0</v>
      </c>
      <c r="D36" s="486">
        <v>0</v>
      </c>
      <c r="E36" s="486">
        <v>0</v>
      </c>
    </row>
    <row r="37" spans="1:5" x14ac:dyDescent="0.25">
      <c r="A37" s="484" t="s">
        <v>323</v>
      </c>
      <c r="B37" s="484" t="s">
        <v>324</v>
      </c>
      <c r="C37" s="486">
        <v>0</v>
      </c>
      <c r="D37" s="486">
        <v>0</v>
      </c>
      <c r="E37" s="486">
        <v>0</v>
      </c>
    </row>
    <row r="38" spans="1:5" x14ac:dyDescent="0.25">
      <c r="A38" s="487" t="s">
        <v>325</v>
      </c>
      <c r="B38" s="488"/>
      <c r="C38" s="489">
        <f>SUM(C34:C37)</f>
        <v>0</v>
      </c>
      <c r="D38" s="489">
        <f>SUM(D34:D37)</f>
        <v>0</v>
      </c>
      <c r="E38" s="489">
        <f>SUM(E34:E37)</f>
        <v>0</v>
      </c>
    </row>
    <row r="40" spans="1:5" x14ac:dyDescent="0.25">
      <c r="A40" s="484" t="s">
        <v>126</v>
      </c>
      <c r="B40" s="484" t="s">
        <v>347</v>
      </c>
      <c r="C40" s="486">
        <v>-7130497.1600000001</v>
      </c>
      <c r="D40" s="486">
        <v>-13689.12</v>
      </c>
      <c r="E40" s="486">
        <v>-7144186.2800000003</v>
      </c>
    </row>
    <row r="41" spans="1:5" x14ac:dyDescent="0.25">
      <c r="A41" s="484" t="s">
        <v>128</v>
      </c>
      <c r="B41" s="484" t="s">
        <v>348</v>
      </c>
      <c r="C41" s="486">
        <v>-13837376.460000001</v>
      </c>
      <c r="D41" s="486">
        <v>-23936.25</v>
      </c>
      <c r="E41" s="486">
        <v>-13861312.710000001</v>
      </c>
    </row>
    <row r="42" spans="1:5" x14ac:dyDescent="0.25">
      <c r="A42" s="484" t="s">
        <v>130</v>
      </c>
      <c r="B42" s="484" t="s">
        <v>349</v>
      </c>
      <c r="C42" s="486">
        <v>-6723005.25</v>
      </c>
      <c r="D42" s="486">
        <v>-12980.42</v>
      </c>
      <c r="E42" s="486">
        <v>-6735985.6699999999</v>
      </c>
    </row>
    <row r="43" spans="1:5" x14ac:dyDescent="0.25">
      <c r="A43" s="484" t="s">
        <v>132</v>
      </c>
      <c r="B43" s="484" t="s">
        <v>350</v>
      </c>
      <c r="C43" s="486">
        <v>-279316.02</v>
      </c>
      <c r="D43" s="486">
        <v>-1039.98</v>
      </c>
      <c r="E43" s="486">
        <v>-280356</v>
      </c>
    </row>
    <row r="44" spans="1:5" x14ac:dyDescent="0.25">
      <c r="A44" s="487" t="s">
        <v>134</v>
      </c>
      <c r="B44" s="488"/>
      <c r="C44" s="489">
        <f>SUM(C40:C43)</f>
        <v>-27970194.890000001</v>
      </c>
      <c r="D44" s="489">
        <f>SUM(D40:D43)</f>
        <v>-51645.770000000004</v>
      </c>
      <c r="E44" s="489">
        <f>SUM(E40:E43)</f>
        <v>-28021840.660000004</v>
      </c>
    </row>
    <row r="46" spans="1:5" x14ac:dyDescent="0.25">
      <c r="A46" s="484" t="s">
        <v>326</v>
      </c>
      <c r="B46" s="484" t="s">
        <v>327</v>
      </c>
      <c r="C46" s="486">
        <v>0</v>
      </c>
      <c r="D46" s="486">
        <v>0</v>
      </c>
      <c r="E46" s="486">
        <v>0</v>
      </c>
    </row>
    <row r="47" spans="1:5" x14ac:dyDescent="0.25">
      <c r="A47" s="484" t="s">
        <v>328</v>
      </c>
      <c r="B47" s="484" t="s">
        <v>329</v>
      </c>
      <c r="C47" s="486">
        <v>11326557</v>
      </c>
      <c r="D47" s="486">
        <v>1819149</v>
      </c>
      <c r="E47" s="486">
        <v>13145706</v>
      </c>
    </row>
    <row r="48" spans="1:5" x14ac:dyDescent="0.25">
      <c r="A48" s="484" t="s">
        <v>330</v>
      </c>
      <c r="B48" s="484" t="s">
        <v>331</v>
      </c>
      <c r="C48" s="486">
        <v>-29139446</v>
      </c>
      <c r="D48" s="486">
        <v>-3020654</v>
      </c>
      <c r="E48" s="486">
        <v>-32160100</v>
      </c>
    </row>
    <row r="49" spans="1:5" x14ac:dyDescent="0.25">
      <c r="A49" s="484" t="s">
        <v>332</v>
      </c>
      <c r="B49" s="484" t="s">
        <v>333</v>
      </c>
      <c r="C49" s="486">
        <v>0</v>
      </c>
      <c r="D49" s="486">
        <v>0</v>
      </c>
      <c r="E49" s="486">
        <v>0</v>
      </c>
    </row>
    <row r="50" spans="1:5" x14ac:dyDescent="0.25">
      <c r="A50" s="487" t="s">
        <v>334</v>
      </c>
      <c r="B50" s="488"/>
      <c r="C50" s="489">
        <f>SUM(C46:C49)</f>
        <v>-17812889</v>
      </c>
      <c r="D50" s="489">
        <f>SUM(D46:D49)</f>
        <v>-1201505</v>
      </c>
      <c r="E50" s="489">
        <f>SUM(E46:E49)</f>
        <v>-19014394</v>
      </c>
    </row>
    <row r="52" spans="1:5" x14ac:dyDescent="0.25">
      <c r="A52" s="484" t="s">
        <v>135</v>
      </c>
      <c r="B52" s="484" t="s">
        <v>136</v>
      </c>
      <c r="C52" s="486">
        <v>-964350792.60000002</v>
      </c>
      <c r="D52" s="486">
        <v>-188521172.16</v>
      </c>
      <c r="E52" s="486">
        <v>-1152871964.76</v>
      </c>
    </row>
    <row r="53" spans="1:5" x14ac:dyDescent="0.25">
      <c r="A53" s="484" t="s">
        <v>137</v>
      </c>
      <c r="B53" s="484" t="s">
        <v>138</v>
      </c>
      <c r="C53" s="486">
        <v>-2034971706.3800001</v>
      </c>
      <c r="D53" s="486">
        <v>-338433645.50999999</v>
      </c>
      <c r="E53" s="486">
        <v>-2373405351.8899999</v>
      </c>
    </row>
    <row r="54" spans="1:5" x14ac:dyDescent="0.25">
      <c r="A54" s="484" t="s">
        <v>139</v>
      </c>
      <c r="B54" s="484" t="s">
        <v>140</v>
      </c>
      <c r="C54" s="486">
        <v>-1026938819.17</v>
      </c>
      <c r="D54" s="486">
        <v>-180368509.21000001</v>
      </c>
      <c r="E54" s="486">
        <v>-1207307328.3800001</v>
      </c>
    </row>
    <row r="55" spans="1:5" x14ac:dyDescent="0.25">
      <c r="A55" s="484" t="s">
        <v>141</v>
      </c>
      <c r="B55" s="484" t="s">
        <v>142</v>
      </c>
      <c r="C55" s="486">
        <v>-62526345.68</v>
      </c>
      <c r="D55" s="486">
        <v>-10617627.960000001</v>
      </c>
      <c r="E55" s="486">
        <v>-73143973.640000001</v>
      </c>
    </row>
    <row r="56" spans="1:5" x14ac:dyDescent="0.25">
      <c r="A56" s="487" t="s">
        <v>143</v>
      </c>
      <c r="B56" s="488"/>
      <c r="C56" s="489">
        <f>SUM(C52:C55)</f>
        <v>-4088787663.8299999</v>
      </c>
      <c r="D56" s="489">
        <f>SUM(D52:D55)</f>
        <v>-717940954.84000003</v>
      </c>
      <c r="E56" s="489">
        <f>SUM(E52:E55)</f>
        <v>-4806728618.6700001</v>
      </c>
    </row>
    <row r="58" spans="1:5" x14ac:dyDescent="0.25">
      <c r="A58" s="484" t="s">
        <v>351</v>
      </c>
      <c r="B58" s="484" t="s">
        <v>352</v>
      </c>
      <c r="C58" s="486">
        <v>-67705713.609999999</v>
      </c>
      <c r="D58" s="486">
        <v>5081074.3600000003</v>
      </c>
      <c r="E58" s="486">
        <v>-62624639.25</v>
      </c>
    </row>
    <row r="59" spans="1:5" x14ac:dyDescent="0.25">
      <c r="A59" s="484" t="s">
        <v>353</v>
      </c>
      <c r="B59" s="484" t="s">
        <v>354</v>
      </c>
      <c r="C59" s="486">
        <v>-540.66</v>
      </c>
      <c r="D59" s="486">
        <v>0</v>
      </c>
      <c r="E59" s="486">
        <v>-540.66</v>
      </c>
    </row>
    <row r="60" spans="1:5" x14ac:dyDescent="0.25">
      <c r="C60" s="486">
        <f>SUM(C58:C59)</f>
        <v>-67706254.269999996</v>
      </c>
      <c r="D60" s="486">
        <f>SUM(D58:D59)</f>
        <v>5081074.3600000003</v>
      </c>
      <c r="E60" s="486">
        <f>SUM(E58:E59)</f>
        <v>-62625179.909999996</v>
      </c>
    </row>
    <row r="62" spans="1:5" x14ac:dyDescent="0.25">
      <c r="A62" s="487" t="s">
        <v>144</v>
      </c>
      <c r="B62" s="487" t="s">
        <v>39</v>
      </c>
      <c r="C62" s="489">
        <v>0</v>
      </c>
      <c r="D62" s="489">
        <v>0</v>
      </c>
      <c r="E62" s="489">
        <v>0</v>
      </c>
    </row>
    <row r="63" spans="1:5" x14ac:dyDescent="0.25">
      <c r="A63" s="484" t="s">
        <v>145</v>
      </c>
    </row>
    <row r="66" spans="1:5" x14ac:dyDescent="0.25">
      <c r="A66" s="484" t="s">
        <v>146</v>
      </c>
      <c r="B66" s="484" t="s">
        <v>80</v>
      </c>
      <c r="C66" s="486">
        <v>0</v>
      </c>
      <c r="D66" s="486">
        <v>0</v>
      </c>
      <c r="E66" s="486">
        <v>0</v>
      </c>
    </row>
    <row r="67" spans="1:5" x14ac:dyDescent="0.25">
      <c r="A67" s="484" t="s">
        <v>147</v>
      </c>
      <c r="B67" s="484" t="s">
        <v>81</v>
      </c>
      <c r="C67" s="486">
        <v>0</v>
      </c>
      <c r="D67" s="486">
        <v>0</v>
      </c>
      <c r="E67" s="486">
        <v>0</v>
      </c>
    </row>
    <row r="68" spans="1:5" x14ac:dyDescent="0.25">
      <c r="A68" s="484" t="s">
        <v>148</v>
      </c>
      <c r="B68" s="484" t="s">
        <v>82</v>
      </c>
      <c r="C68" s="486">
        <v>0</v>
      </c>
      <c r="D68" s="486">
        <v>0</v>
      </c>
      <c r="E68" s="486">
        <v>0</v>
      </c>
    </row>
    <row r="69" spans="1:5" x14ac:dyDescent="0.25">
      <c r="A69" s="484" t="s">
        <v>149</v>
      </c>
      <c r="B69" s="484" t="s">
        <v>83</v>
      </c>
      <c r="C69" s="486">
        <v>0</v>
      </c>
      <c r="D69" s="486">
        <v>0</v>
      </c>
      <c r="E69" s="486">
        <v>0</v>
      </c>
    </row>
    <row r="70" spans="1:5" x14ac:dyDescent="0.25">
      <c r="A70" s="487" t="s">
        <v>150</v>
      </c>
      <c r="B70" s="488"/>
      <c r="C70" s="489">
        <f>SUM(C66:C69)</f>
        <v>0</v>
      </c>
      <c r="D70" s="489">
        <f>SUM(D66:D69)</f>
        <v>0</v>
      </c>
      <c r="E70" s="489">
        <f>SUM(E66:E69)</f>
        <v>0</v>
      </c>
    </row>
    <row r="72" spans="1:5" x14ac:dyDescent="0.25">
      <c r="A72" s="484" t="s">
        <v>151</v>
      </c>
      <c r="B72" s="484" t="s">
        <v>40</v>
      </c>
      <c r="C72" s="486">
        <v>-35570485.329999998</v>
      </c>
      <c r="D72" s="486">
        <v>-5192570.92</v>
      </c>
      <c r="E72" s="486">
        <v>-40763056.25</v>
      </c>
    </row>
    <row r="73" spans="1:5" x14ac:dyDescent="0.25">
      <c r="A73" s="484" t="s">
        <v>152</v>
      </c>
      <c r="B73" s="484" t="s">
        <v>41</v>
      </c>
      <c r="C73" s="486">
        <v>-7581600.1799999997</v>
      </c>
      <c r="D73" s="486">
        <v>-1154619.42</v>
      </c>
      <c r="E73" s="486">
        <v>-8736219.5999999996</v>
      </c>
    </row>
    <row r="74" spans="1:5" x14ac:dyDescent="0.25">
      <c r="A74" s="484" t="s">
        <v>153</v>
      </c>
      <c r="B74" s="484" t="s">
        <v>42</v>
      </c>
      <c r="C74" s="486">
        <v>-2884127.02</v>
      </c>
      <c r="D74" s="486">
        <v>-497067.57</v>
      </c>
      <c r="E74" s="486">
        <v>-3381194.59</v>
      </c>
    </row>
    <row r="75" spans="1:5" x14ac:dyDescent="0.25">
      <c r="A75" s="484" t="s">
        <v>154</v>
      </c>
      <c r="B75" s="484" t="s">
        <v>43</v>
      </c>
      <c r="C75" s="486">
        <v>-6457096.7199999997</v>
      </c>
      <c r="D75" s="486">
        <v>-468314.49</v>
      </c>
      <c r="E75" s="486">
        <v>-6925411.21</v>
      </c>
    </row>
    <row r="76" spans="1:5" x14ac:dyDescent="0.25">
      <c r="A76" s="487" t="s">
        <v>155</v>
      </c>
      <c r="B76" s="488"/>
      <c r="C76" s="489">
        <f>SUM(C72:C75)</f>
        <v>-52493309.25</v>
      </c>
      <c r="D76" s="489">
        <f>SUM(D72:D75)</f>
        <v>-7312572.4000000004</v>
      </c>
      <c r="E76" s="489">
        <f>SUM(E72:E75)</f>
        <v>-59805881.649999999</v>
      </c>
    </row>
    <row r="78" spans="1:5" x14ac:dyDescent="0.25">
      <c r="A78" s="484" t="s">
        <v>156</v>
      </c>
      <c r="B78" s="484" t="s">
        <v>157</v>
      </c>
      <c r="C78" s="486">
        <v>2396654.35</v>
      </c>
      <c r="D78" s="486">
        <v>3459793.6</v>
      </c>
      <c r="E78" s="486">
        <v>5856447.9500000002</v>
      </c>
    </row>
    <row r="79" spans="1:5" x14ac:dyDescent="0.25">
      <c r="A79" s="484" t="s">
        <v>158</v>
      </c>
      <c r="B79" s="484" t="s">
        <v>159</v>
      </c>
      <c r="C79" s="486">
        <v>6422885.8600000003</v>
      </c>
      <c r="D79" s="486">
        <v>-793613.95</v>
      </c>
      <c r="E79" s="486">
        <v>5629271.9100000001</v>
      </c>
    </row>
    <row r="80" spans="1:5" x14ac:dyDescent="0.25">
      <c r="A80" s="484" t="s">
        <v>160</v>
      </c>
      <c r="B80" s="484" t="s">
        <v>161</v>
      </c>
      <c r="C80" s="486">
        <v>332107.57</v>
      </c>
      <c r="D80" s="486">
        <v>-169051.64</v>
      </c>
      <c r="E80" s="486">
        <v>163055.93</v>
      </c>
    </row>
    <row r="81" spans="1:5" x14ac:dyDescent="0.25">
      <c r="A81" s="484" t="s">
        <v>162</v>
      </c>
      <c r="B81" s="484" t="s">
        <v>163</v>
      </c>
      <c r="C81" s="486">
        <v>4346335.34</v>
      </c>
      <c r="D81" s="486">
        <v>-277539.02</v>
      </c>
      <c r="E81" s="486">
        <v>4068796.32</v>
      </c>
    </row>
    <row r="82" spans="1:5" x14ac:dyDescent="0.25">
      <c r="A82" s="487" t="s">
        <v>164</v>
      </c>
      <c r="B82" s="488"/>
      <c r="C82" s="489">
        <f>SUM(C78:C81)</f>
        <v>13497983.120000001</v>
      </c>
      <c r="D82" s="489">
        <f>SUM(D78:D81)</f>
        <v>2219588.9900000002</v>
      </c>
      <c r="E82" s="489">
        <f>SUM(E78:E81)</f>
        <v>15717572.109999999</v>
      </c>
    </row>
    <row r="84" spans="1:5" x14ac:dyDescent="0.25">
      <c r="A84" s="487" t="s">
        <v>31</v>
      </c>
      <c r="B84" s="488"/>
      <c r="C84" s="489">
        <f>C14+C20+C26+C32+C44+C56+C62+C70+C76+C82+C50+C38+C60</f>
        <v>465202585.36999953</v>
      </c>
      <c r="D84" s="489">
        <f>D14+D20+D26+D32+D44+D56+D62+D70+D76+D82+D50+D38+D60</f>
        <v>88431859.629999936</v>
      </c>
      <c r="E84" s="489">
        <f>E14+E20+E26+E32+E44+E56+E62+E70+E76+E82+E50+E38+E60</f>
        <v>553634445.00000083</v>
      </c>
    </row>
  </sheetData>
  <pageMargins left="0.75" right="0.75" top="0.75" bottom="0.7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workbookViewId="0">
      <pane ySplit="8" topLeftCell="A69" activePane="bottomLeft" state="frozenSplit"/>
      <selection pane="bottomLeft" activeCell="G44" sqref="G44"/>
    </sheetView>
  </sheetViews>
  <sheetFormatPr defaultColWidth="9.109375" defaultRowHeight="13.2" x14ac:dyDescent="0.25"/>
  <cols>
    <col min="1" max="1" width="30.6640625" style="428" customWidth="1"/>
    <col min="2" max="2" width="33.6640625" style="428" customWidth="1"/>
    <col min="3" max="5" width="22.6640625" style="439" customWidth="1"/>
    <col min="6" max="6" width="9.109375" style="428"/>
    <col min="7" max="7" width="12.5546875" style="428" bestFit="1" customWidth="1"/>
    <col min="8" max="16384" width="9.109375" style="428"/>
  </cols>
  <sheetData>
    <row r="1" spans="1:5" x14ac:dyDescent="0.25">
      <c r="C1" s="429" t="s">
        <v>53</v>
      </c>
      <c r="D1" s="430"/>
      <c r="E1" s="430"/>
    </row>
    <row r="2" spans="1:5" x14ac:dyDescent="0.25">
      <c r="C2" s="431" t="s">
        <v>86</v>
      </c>
      <c r="D2" s="432"/>
      <c r="E2" s="432"/>
    </row>
    <row r="3" spans="1:5" x14ac:dyDescent="0.25">
      <c r="C3" s="429" t="s">
        <v>357</v>
      </c>
      <c r="D3" s="430"/>
      <c r="E3" s="430"/>
    </row>
    <row r="4" spans="1:5" x14ac:dyDescent="0.25">
      <c r="C4" s="429" t="s">
        <v>88</v>
      </c>
      <c r="D4" s="430"/>
      <c r="E4" s="430"/>
    </row>
    <row r="5" spans="1:5" x14ac:dyDescent="0.25">
      <c r="C5" s="433" t="s">
        <v>358</v>
      </c>
      <c r="D5" s="434"/>
      <c r="E5" s="434"/>
    </row>
    <row r="7" spans="1:5" x14ac:dyDescent="0.25">
      <c r="B7" s="435" t="s">
        <v>30</v>
      </c>
      <c r="C7" s="436" t="s">
        <v>90</v>
      </c>
      <c r="D7" s="436" t="s">
        <v>177</v>
      </c>
      <c r="E7" s="436" t="s">
        <v>92</v>
      </c>
    </row>
    <row r="9" spans="1:5" x14ac:dyDescent="0.25">
      <c r="A9" s="437" t="s">
        <v>93</v>
      </c>
      <c r="B9" s="437" t="s">
        <v>34</v>
      </c>
      <c r="C9" s="438">
        <v>968741590.33000004</v>
      </c>
      <c r="D9" s="438">
        <v>205218854.27000001</v>
      </c>
      <c r="E9" s="438">
        <v>1173960444.5999999</v>
      </c>
    </row>
    <row r="10" spans="1:5" x14ac:dyDescent="0.25">
      <c r="A10" s="437" t="s">
        <v>94</v>
      </c>
      <c r="B10" s="437" t="s">
        <v>35</v>
      </c>
      <c r="C10" s="439">
        <v>1882819568.46</v>
      </c>
      <c r="D10" s="439">
        <v>403845332.58999997</v>
      </c>
      <c r="E10" s="439">
        <v>2286664901.0500002</v>
      </c>
    </row>
    <row r="11" spans="1:5" x14ac:dyDescent="0.25">
      <c r="A11" s="437" t="s">
        <v>95</v>
      </c>
      <c r="B11" s="437" t="s">
        <v>36</v>
      </c>
      <c r="C11" s="439">
        <v>973963696.14999998</v>
      </c>
      <c r="D11" s="439">
        <v>221445476.91999999</v>
      </c>
      <c r="E11" s="439">
        <v>1195409173.0699999</v>
      </c>
    </row>
    <row r="12" spans="1:5" x14ac:dyDescent="0.25">
      <c r="A12" s="437" t="s">
        <v>96</v>
      </c>
      <c r="B12" s="437" t="s">
        <v>37</v>
      </c>
      <c r="C12" s="439">
        <v>38902292.789999999</v>
      </c>
      <c r="D12" s="439">
        <v>8573043.0700000003</v>
      </c>
      <c r="E12" s="439">
        <v>47475335.859999999</v>
      </c>
    </row>
    <row r="13" spans="1:5" x14ac:dyDescent="0.25">
      <c r="A13" s="437" t="s">
        <v>97</v>
      </c>
      <c r="B13" s="437" t="s">
        <v>38</v>
      </c>
      <c r="C13" s="439">
        <v>0</v>
      </c>
      <c r="D13" s="439">
        <v>0</v>
      </c>
      <c r="E13" s="439">
        <v>0</v>
      </c>
    </row>
    <row r="14" spans="1:5" x14ac:dyDescent="0.25">
      <c r="A14" s="440" t="s">
        <v>98</v>
      </c>
      <c r="B14" s="441"/>
      <c r="C14" s="442">
        <f>SUM(C9:C13)</f>
        <v>3864427147.73</v>
      </c>
      <c r="D14" s="442">
        <f>SUM(D9:D13)</f>
        <v>839082706.85000002</v>
      </c>
      <c r="E14" s="442">
        <f>SUM(E9:E13)</f>
        <v>4703509854.5799999</v>
      </c>
    </row>
    <row r="16" spans="1:5" x14ac:dyDescent="0.25">
      <c r="A16" s="437" t="s">
        <v>99</v>
      </c>
      <c r="B16" s="437" t="s">
        <v>100</v>
      </c>
      <c r="C16" s="439">
        <v>597000.66</v>
      </c>
      <c r="D16" s="439">
        <v>157424.79999999999</v>
      </c>
      <c r="E16" s="439">
        <v>754425.46</v>
      </c>
    </row>
    <row r="17" spans="1:5" x14ac:dyDescent="0.25">
      <c r="A17" s="437" t="s">
        <v>101</v>
      </c>
      <c r="B17" s="437" t="s">
        <v>102</v>
      </c>
      <c r="C17" s="439">
        <v>1162845.1200000001</v>
      </c>
      <c r="D17" s="439">
        <v>309825.78000000003</v>
      </c>
      <c r="E17" s="439">
        <v>1472670.9</v>
      </c>
    </row>
    <row r="18" spans="1:5" x14ac:dyDescent="0.25">
      <c r="A18" s="437" t="s">
        <v>103</v>
      </c>
      <c r="B18" s="437" t="s">
        <v>104</v>
      </c>
      <c r="C18" s="439">
        <v>924854.28</v>
      </c>
      <c r="D18" s="439">
        <v>230091.69</v>
      </c>
      <c r="E18" s="439">
        <v>1154945.97</v>
      </c>
    </row>
    <row r="19" spans="1:5" x14ac:dyDescent="0.25">
      <c r="A19" s="437" t="s">
        <v>105</v>
      </c>
      <c r="B19" s="437" t="s">
        <v>106</v>
      </c>
      <c r="C19" s="439">
        <v>23249.38</v>
      </c>
      <c r="D19" s="439">
        <v>6379.57</v>
      </c>
      <c r="E19" s="439">
        <v>29628.95</v>
      </c>
    </row>
    <row r="20" spans="1:5" x14ac:dyDescent="0.25">
      <c r="A20" s="440" t="s">
        <v>107</v>
      </c>
      <c r="B20" s="441"/>
      <c r="C20" s="442">
        <f>SUM(C16:C19)</f>
        <v>2707949.4400000004</v>
      </c>
      <c r="D20" s="442">
        <f>SUM(D16:D19)</f>
        <v>703721.84</v>
      </c>
      <c r="E20" s="442">
        <f>SUM(E16:E19)</f>
        <v>3411671.2800000003</v>
      </c>
    </row>
    <row r="22" spans="1:5" x14ac:dyDescent="0.25">
      <c r="A22" s="437" t="s">
        <v>108</v>
      </c>
      <c r="B22" s="437" t="s">
        <v>109</v>
      </c>
      <c r="C22" s="439">
        <v>-171360.89</v>
      </c>
      <c r="D22" s="439">
        <v>49549.51</v>
      </c>
      <c r="E22" s="439">
        <v>-121811.38</v>
      </c>
    </row>
    <row r="23" spans="1:5" x14ac:dyDescent="0.25">
      <c r="A23" s="437" t="s">
        <v>110</v>
      </c>
      <c r="B23" s="437" t="s">
        <v>111</v>
      </c>
      <c r="C23" s="439">
        <v>-325559.53999999998</v>
      </c>
      <c r="D23" s="439">
        <v>97478.47</v>
      </c>
      <c r="E23" s="439">
        <v>-228081.07</v>
      </c>
    </row>
    <row r="24" spans="1:5" x14ac:dyDescent="0.25">
      <c r="A24" s="437" t="s">
        <v>112</v>
      </c>
      <c r="B24" s="437" t="s">
        <v>113</v>
      </c>
      <c r="C24" s="439">
        <v>-148939.04999999999</v>
      </c>
      <c r="D24" s="439">
        <v>53479.51</v>
      </c>
      <c r="E24" s="439">
        <v>-95459.54</v>
      </c>
    </row>
    <row r="25" spans="1:5" x14ac:dyDescent="0.25">
      <c r="A25" s="437" t="s">
        <v>114</v>
      </c>
      <c r="B25" s="437" t="s">
        <v>115</v>
      </c>
      <c r="C25" s="439">
        <v>-6326.63</v>
      </c>
      <c r="D25" s="439">
        <v>2066.25</v>
      </c>
      <c r="E25" s="439">
        <v>-4260.38</v>
      </c>
    </row>
    <row r="26" spans="1:5" x14ac:dyDescent="0.25">
      <c r="A26" s="440" t="s">
        <v>116</v>
      </c>
      <c r="B26" s="441"/>
      <c r="C26" s="442">
        <f>SUM(C22:C25)</f>
        <v>-652186.11</v>
      </c>
      <c r="D26" s="442">
        <f>SUM(D22:D25)</f>
        <v>202573.74000000002</v>
      </c>
      <c r="E26" s="442">
        <f>SUM(E22:E25)</f>
        <v>-449612.37</v>
      </c>
    </row>
    <row r="28" spans="1:5" x14ac:dyDescent="0.25">
      <c r="A28" s="437" t="s">
        <v>117</v>
      </c>
      <c r="B28" s="437" t="s">
        <v>118</v>
      </c>
      <c r="C28" s="439">
        <v>764.5</v>
      </c>
      <c r="D28" s="439">
        <v>0</v>
      </c>
      <c r="E28" s="439">
        <v>764.5</v>
      </c>
    </row>
    <row r="29" spans="1:5" x14ac:dyDescent="0.25">
      <c r="A29" s="437" t="s">
        <v>119</v>
      </c>
      <c r="B29" s="437" t="s">
        <v>120</v>
      </c>
      <c r="C29" s="439">
        <v>1493.2</v>
      </c>
      <c r="D29" s="439">
        <v>0</v>
      </c>
      <c r="E29" s="439">
        <v>1493.2</v>
      </c>
    </row>
    <row r="30" spans="1:5" x14ac:dyDescent="0.25">
      <c r="A30" s="437" t="s">
        <v>121</v>
      </c>
      <c r="B30" s="437" t="s">
        <v>122</v>
      </c>
      <c r="C30" s="439">
        <v>710</v>
      </c>
      <c r="D30" s="439">
        <v>0</v>
      </c>
      <c r="E30" s="439">
        <v>710</v>
      </c>
    </row>
    <row r="31" spans="1:5" x14ac:dyDescent="0.25">
      <c r="A31" s="437" t="s">
        <v>123</v>
      </c>
      <c r="B31" s="437" t="s">
        <v>124</v>
      </c>
      <c r="C31" s="439">
        <v>32.299999999999997</v>
      </c>
      <c r="D31" s="439">
        <v>0</v>
      </c>
      <c r="E31" s="439">
        <v>32.299999999999997</v>
      </c>
    </row>
    <row r="32" spans="1:5" x14ac:dyDescent="0.25">
      <c r="A32" s="440" t="s">
        <v>125</v>
      </c>
      <c r="B32" s="441"/>
      <c r="C32" s="442">
        <f>SUM(C28:C31)</f>
        <v>3000</v>
      </c>
      <c r="D32" s="442">
        <f>SUM(D28:D31)</f>
        <v>0</v>
      </c>
      <c r="E32" s="442">
        <f>SUM(E28:E31)</f>
        <v>3000</v>
      </c>
    </row>
    <row r="34" spans="1:7" x14ac:dyDescent="0.25">
      <c r="A34" s="437" t="s">
        <v>317</v>
      </c>
      <c r="B34" s="437" t="s">
        <v>318</v>
      </c>
      <c r="C34" s="439">
        <v>0</v>
      </c>
      <c r="D34" s="439">
        <v>0</v>
      </c>
      <c r="E34" s="439">
        <v>0</v>
      </c>
    </row>
    <row r="35" spans="1:7" x14ac:dyDescent="0.25">
      <c r="A35" s="437" t="s">
        <v>319</v>
      </c>
      <c r="B35" s="437" t="s">
        <v>320</v>
      </c>
      <c r="C35" s="439">
        <v>0</v>
      </c>
      <c r="D35" s="439">
        <v>0</v>
      </c>
      <c r="E35" s="439">
        <v>0</v>
      </c>
    </row>
    <row r="36" spans="1:7" x14ac:dyDescent="0.25">
      <c r="A36" s="437" t="s">
        <v>321</v>
      </c>
      <c r="B36" s="437" t="s">
        <v>322</v>
      </c>
      <c r="C36" s="439">
        <v>0</v>
      </c>
      <c r="D36" s="439">
        <v>0</v>
      </c>
      <c r="E36" s="439">
        <v>0</v>
      </c>
    </row>
    <row r="37" spans="1:7" x14ac:dyDescent="0.25">
      <c r="A37" s="437" t="s">
        <v>323</v>
      </c>
      <c r="B37" s="437" t="s">
        <v>324</v>
      </c>
      <c r="C37" s="439">
        <v>0</v>
      </c>
      <c r="D37" s="439">
        <v>0</v>
      </c>
      <c r="E37" s="439">
        <v>0</v>
      </c>
    </row>
    <row r="38" spans="1:7" x14ac:dyDescent="0.25">
      <c r="A38" s="440" t="s">
        <v>325</v>
      </c>
      <c r="B38" s="441"/>
      <c r="C38" s="442">
        <f>SUM(C34:C37)</f>
        <v>0</v>
      </c>
      <c r="D38" s="442">
        <f>SUM(D34:D37)</f>
        <v>0</v>
      </c>
      <c r="E38" s="442">
        <f>SUM(E34:E37)</f>
        <v>0</v>
      </c>
    </row>
    <row r="40" spans="1:7" x14ac:dyDescent="0.25">
      <c r="A40" s="437" t="s">
        <v>126</v>
      </c>
      <c r="B40" s="437" t="s">
        <v>347</v>
      </c>
      <c r="C40" s="439">
        <v>-6100431.8700000001</v>
      </c>
      <c r="D40" s="439">
        <v>-1030065.29</v>
      </c>
      <c r="E40" s="439">
        <v>-7130497.1600000001</v>
      </c>
    </row>
    <row r="41" spans="1:7" x14ac:dyDescent="0.25">
      <c r="A41" s="437" t="s">
        <v>128</v>
      </c>
      <c r="B41" s="437" t="s">
        <v>348</v>
      </c>
      <c r="C41" s="439">
        <v>-11744901.48</v>
      </c>
      <c r="D41" s="439">
        <v>-2092474.98</v>
      </c>
      <c r="E41" s="439">
        <v>-13837376.460000001</v>
      </c>
    </row>
    <row r="42" spans="1:7" x14ac:dyDescent="0.25">
      <c r="A42" s="437" t="s">
        <v>130</v>
      </c>
      <c r="B42" s="437" t="s">
        <v>349</v>
      </c>
      <c r="C42" s="439">
        <v>-5568121.5499999998</v>
      </c>
      <c r="D42" s="439">
        <v>-1154883.7</v>
      </c>
      <c r="E42" s="439">
        <v>-6723005.25</v>
      </c>
    </row>
    <row r="43" spans="1:7" x14ac:dyDescent="0.25">
      <c r="A43" s="437" t="s">
        <v>132</v>
      </c>
      <c r="B43" s="437" t="s">
        <v>350</v>
      </c>
      <c r="C43" s="439">
        <v>-234699.51999999999</v>
      </c>
      <c r="D43" s="439">
        <v>-44616.5</v>
      </c>
      <c r="E43" s="439">
        <v>-279316.02</v>
      </c>
    </row>
    <row r="44" spans="1:7" x14ac:dyDescent="0.25">
      <c r="A44" s="440" t="s">
        <v>134</v>
      </c>
      <c r="B44" s="441"/>
      <c r="C44" s="442">
        <f>SUM(C40:C43)</f>
        <v>-23648154.420000002</v>
      </c>
      <c r="D44" s="442">
        <f>SUM(D40:D43)</f>
        <v>-4322040.47</v>
      </c>
      <c r="E44" s="442">
        <f>SUM(E40:E43)</f>
        <v>-27970194.890000001</v>
      </c>
      <c r="G44" s="428">
        <v>-27970194.890000001</v>
      </c>
    </row>
    <row r="46" spans="1:7" x14ac:dyDescent="0.25">
      <c r="A46" s="437" t="s">
        <v>326</v>
      </c>
      <c r="B46" s="437" t="s">
        <v>327</v>
      </c>
      <c r="C46" s="439">
        <v>0</v>
      </c>
      <c r="D46" s="439">
        <v>0</v>
      </c>
      <c r="E46" s="439">
        <v>0</v>
      </c>
    </row>
    <row r="47" spans="1:7" x14ac:dyDescent="0.25">
      <c r="A47" s="437" t="s">
        <v>328</v>
      </c>
      <c r="B47" s="437" t="s">
        <v>329</v>
      </c>
      <c r="C47" s="439">
        <v>7165185</v>
      </c>
      <c r="D47" s="439">
        <v>4161372</v>
      </c>
      <c r="E47" s="439">
        <v>11326557</v>
      </c>
    </row>
    <row r="48" spans="1:7" x14ac:dyDescent="0.25">
      <c r="A48" s="437" t="s">
        <v>330</v>
      </c>
      <c r="B48" s="437" t="s">
        <v>331</v>
      </c>
      <c r="C48" s="439">
        <v>-30375066</v>
      </c>
      <c r="D48" s="439">
        <v>1235620</v>
      </c>
      <c r="E48" s="439">
        <v>-29139446</v>
      </c>
    </row>
    <row r="49" spans="1:5" x14ac:dyDescent="0.25">
      <c r="A49" s="437" t="s">
        <v>332</v>
      </c>
      <c r="B49" s="437" t="s">
        <v>333</v>
      </c>
      <c r="C49" s="439">
        <v>0</v>
      </c>
      <c r="D49" s="439">
        <v>0</v>
      </c>
      <c r="E49" s="439">
        <v>0</v>
      </c>
    </row>
    <row r="50" spans="1:5" x14ac:dyDescent="0.25">
      <c r="A50" s="440" t="s">
        <v>334</v>
      </c>
      <c r="B50" s="441"/>
      <c r="C50" s="442">
        <f>SUM(C46:C49)</f>
        <v>-23209881</v>
      </c>
      <c r="D50" s="442">
        <f>SUM(D46:D49)</f>
        <v>5396992</v>
      </c>
      <c r="E50" s="442">
        <f>SUM(E46:E49)</f>
        <v>-17812889</v>
      </c>
    </row>
    <row r="52" spans="1:5" x14ac:dyDescent="0.25">
      <c r="A52" s="437" t="s">
        <v>135</v>
      </c>
      <c r="B52" s="437" t="s">
        <v>136</v>
      </c>
      <c r="C52" s="439">
        <v>-795336550.39999998</v>
      </c>
      <c r="D52" s="439">
        <v>-169014242.19999999</v>
      </c>
      <c r="E52" s="439">
        <v>-964350792.60000002</v>
      </c>
    </row>
    <row r="53" spans="1:5" x14ac:dyDescent="0.25">
      <c r="A53" s="437" t="s">
        <v>137</v>
      </c>
      <c r="B53" s="437" t="s">
        <v>138</v>
      </c>
      <c r="C53" s="439">
        <v>-1699806089.3800001</v>
      </c>
      <c r="D53" s="439">
        <v>-335165617</v>
      </c>
      <c r="E53" s="439">
        <v>-2034971706.3800001</v>
      </c>
    </row>
    <row r="54" spans="1:5" x14ac:dyDescent="0.25">
      <c r="A54" s="437" t="s">
        <v>139</v>
      </c>
      <c r="B54" s="437" t="s">
        <v>140</v>
      </c>
      <c r="C54" s="439">
        <v>-847234109.16999996</v>
      </c>
      <c r="D54" s="439">
        <v>-179704710</v>
      </c>
      <c r="E54" s="439">
        <v>-1026938819.17</v>
      </c>
    </row>
    <row r="55" spans="1:5" x14ac:dyDescent="0.25">
      <c r="A55" s="437" t="s">
        <v>141</v>
      </c>
      <c r="B55" s="437" t="s">
        <v>142</v>
      </c>
      <c r="C55" s="439">
        <v>-52037581.020000003</v>
      </c>
      <c r="D55" s="439">
        <v>-10488764.66</v>
      </c>
      <c r="E55" s="439">
        <v>-62526345.68</v>
      </c>
    </row>
    <row r="56" spans="1:5" x14ac:dyDescent="0.25">
      <c r="A56" s="440" t="s">
        <v>143</v>
      </c>
      <c r="B56" s="441"/>
      <c r="C56" s="442">
        <f>SUM(C52:C55)</f>
        <v>-3394414329.9700003</v>
      </c>
      <c r="D56" s="442">
        <f>SUM(D52:D55)</f>
        <v>-694373333.86000001</v>
      </c>
      <c r="E56" s="442">
        <f>SUM(E52:E55)</f>
        <v>-4088787663.8299999</v>
      </c>
    </row>
    <row r="58" spans="1:5" x14ac:dyDescent="0.25">
      <c r="A58" s="437" t="s">
        <v>351</v>
      </c>
      <c r="B58" s="437" t="s">
        <v>352</v>
      </c>
      <c r="C58" s="439">
        <v>-73523419.790000007</v>
      </c>
      <c r="D58" s="439">
        <v>5817706.1799999997</v>
      </c>
      <c r="E58" s="439">
        <v>-67705713.609999999</v>
      </c>
    </row>
    <row r="59" spans="1:5" x14ac:dyDescent="0.25">
      <c r="A59" s="437" t="s">
        <v>353</v>
      </c>
      <c r="B59" s="437" t="s">
        <v>354</v>
      </c>
      <c r="C59" s="439">
        <v>-540.66</v>
      </c>
      <c r="D59" s="439">
        <v>0</v>
      </c>
      <c r="E59" s="439">
        <v>-540.66</v>
      </c>
    </row>
    <row r="60" spans="1:5" x14ac:dyDescent="0.25">
      <c r="C60" s="439">
        <f>SUM(C58:C59)</f>
        <v>-73523960.450000003</v>
      </c>
      <c r="D60" s="439">
        <f>SUM(D58:D59)</f>
        <v>5817706.1799999997</v>
      </c>
      <c r="E60" s="439">
        <f>SUM(E58:E59)</f>
        <v>-67706254.269999996</v>
      </c>
    </row>
    <row r="62" spans="1:5" x14ac:dyDescent="0.25">
      <c r="A62" s="440" t="s">
        <v>144</v>
      </c>
      <c r="B62" s="440" t="s">
        <v>39</v>
      </c>
      <c r="C62" s="442">
        <v>0</v>
      </c>
      <c r="D62" s="442">
        <v>0</v>
      </c>
      <c r="E62" s="442">
        <v>0</v>
      </c>
    </row>
    <row r="63" spans="1:5" x14ac:dyDescent="0.25">
      <c r="A63" s="437" t="s">
        <v>145</v>
      </c>
    </row>
    <row r="66" spans="1:7" x14ac:dyDescent="0.25">
      <c r="A66" s="437" t="s">
        <v>146</v>
      </c>
      <c r="B66" s="437" t="s">
        <v>80</v>
      </c>
      <c r="C66" s="439">
        <v>0</v>
      </c>
      <c r="D66" s="439">
        <v>0</v>
      </c>
      <c r="E66" s="439">
        <v>0</v>
      </c>
    </row>
    <row r="67" spans="1:7" x14ac:dyDescent="0.25">
      <c r="A67" s="437" t="s">
        <v>147</v>
      </c>
      <c r="B67" s="437" t="s">
        <v>81</v>
      </c>
      <c r="C67" s="439">
        <v>0</v>
      </c>
      <c r="D67" s="439">
        <v>0</v>
      </c>
      <c r="E67" s="439">
        <v>0</v>
      </c>
    </row>
    <row r="68" spans="1:7" x14ac:dyDescent="0.25">
      <c r="A68" s="437" t="s">
        <v>148</v>
      </c>
      <c r="B68" s="437" t="s">
        <v>82</v>
      </c>
      <c r="C68" s="439">
        <v>0</v>
      </c>
      <c r="D68" s="439">
        <v>0</v>
      </c>
      <c r="E68" s="439">
        <v>0</v>
      </c>
    </row>
    <row r="69" spans="1:7" x14ac:dyDescent="0.25">
      <c r="A69" s="437" t="s">
        <v>149</v>
      </c>
      <c r="B69" s="437" t="s">
        <v>83</v>
      </c>
      <c r="C69" s="439">
        <v>0</v>
      </c>
      <c r="D69" s="439">
        <v>0</v>
      </c>
      <c r="E69" s="439">
        <v>0</v>
      </c>
    </row>
    <row r="70" spans="1:7" x14ac:dyDescent="0.25">
      <c r="A70" s="440" t="s">
        <v>150</v>
      </c>
      <c r="B70" s="441"/>
      <c r="C70" s="442">
        <f>SUM(C66:C69)</f>
        <v>0</v>
      </c>
      <c r="D70" s="442">
        <f>SUM(D66:D69)</f>
        <v>0</v>
      </c>
      <c r="E70" s="442">
        <f>SUM(E66:E69)</f>
        <v>0</v>
      </c>
    </row>
    <row r="72" spans="1:7" x14ac:dyDescent="0.25">
      <c r="A72" s="437" t="s">
        <v>151</v>
      </c>
      <c r="B72" s="437" t="s">
        <v>40</v>
      </c>
      <c r="C72" s="439">
        <v>-29037398.399999999</v>
      </c>
      <c r="D72" s="439">
        <v>-6533086.9299999997</v>
      </c>
      <c r="E72" s="439">
        <v>-35570485.329999998</v>
      </c>
    </row>
    <row r="73" spans="1:7" x14ac:dyDescent="0.25">
      <c r="A73" s="437" t="s">
        <v>152</v>
      </c>
      <c r="B73" s="437" t="s">
        <v>41</v>
      </c>
      <c r="C73" s="439">
        <v>-6456306.5</v>
      </c>
      <c r="D73" s="439">
        <v>-1125293.68</v>
      </c>
      <c r="E73" s="439">
        <v>-7581600.1799999997</v>
      </c>
    </row>
    <row r="74" spans="1:7" x14ac:dyDescent="0.25">
      <c r="A74" s="437" t="s">
        <v>153</v>
      </c>
      <c r="B74" s="437" t="s">
        <v>42</v>
      </c>
      <c r="C74" s="439">
        <v>-2398894.94</v>
      </c>
      <c r="D74" s="439">
        <v>-485232.08</v>
      </c>
      <c r="E74" s="439">
        <v>-2884127.02</v>
      </c>
    </row>
    <row r="75" spans="1:7" x14ac:dyDescent="0.25">
      <c r="A75" s="437" t="s">
        <v>154</v>
      </c>
      <c r="B75" s="437" t="s">
        <v>43</v>
      </c>
      <c r="C75" s="439">
        <v>-5235809.2300000004</v>
      </c>
      <c r="D75" s="439">
        <v>-1221287.49</v>
      </c>
      <c r="E75" s="439">
        <v>-6457096.7199999997</v>
      </c>
    </row>
    <row r="76" spans="1:7" x14ac:dyDescent="0.25">
      <c r="A76" s="440" t="s">
        <v>155</v>
      </c>
      <c r="B76" s="441"/>
      <c r="C76" s="442">
        <f>SUM(C72:C75)</f>
        <v>-43128409.069999993</v>
      </c>
      <c r="D76" s="442">
        <f>SUM(D72:D75)</f>
        <v>-9364900.1799999997</v>
      </c>
      <c r="E76" s="442">
        <f>SUM(E72:E75)</f>
        <v>-52493309.25</v>
      </c>
    </row>
    <row r="78" spans="1:7" x14ac:dyDescent="0.25">
      <c r="A78" s="437" t="s">
        <v>156</v>
      </c>
      <c r="B78" s="437" t="s">
        <v>157</v>
      </c>
      <c r="C78" s="439">
        <v>2255690.4</v>
      </c>
      <c r="D78" s="439">
        <v>140963.95000000001</v>
      </c>
      <c r="E78" s="439">
        <v>2396654.35</v>
      </c>
      <c r="G78" s="444">
        <v>0.46442394274096294</v>
      </c>
    </row>
    <row r="79" spans="1:7" x14ac:dyDescent="0.25">
      <c r="A79" s="437" t="s">
        <v>158</v>
      </c>
      <c r="B79" s="437" t="s">
        <v>159</v>
      </c>
      <c r="C79" s="439">
        <v>5125515.8</v>
      </c>
      <c r="D79" s="439">
        <v>1297370.06</v>
      </c>
      <c r="E79" s="439">
        <v>6422885.8600000003</v>
      </c>
      <c r="G79" s="444">
        <v>0.31059977652430604</v>
      </c>
    </row>
    <row r="80" spans="1:7" x14ac:dyDescent="0.25">
      <c r="A80" s="437" t="s">
        <v>160</v>
      </c>
      <c r="B80" s="437" t="s">
        <v>161</v>
      </c>
      <c r="C80" s="439">
        <v>224732.64</v>
      </c>
      <c r="D80" s="439">
        <v>107374.93</v>
      </c>
      <c r="E80" s="439">
        <v>332107.57</v>
      </c>
      <c r="G80" s="444">
        <v>4.4657355132589165E-3</v>
      </c>
    </row>
    <row r="81" spans="1:7" x14ac:dyDescent="0.25">
      <c r="A81" s="437" t="s">
        <v>162</v>
      </c>
      <c r="B81" s="437" t="s">
        <v>163</v>
      </c>
      <c r="C81" s="439">
        <v>3620585.67</v>
      </c>
      <c r="D81" s="439">
        <v>725749.67</v>
      </c>
      <c r="E81" s="439">
        <v>4346335.34</v>
      </c>
      <c r="G81" s="444">
        <v>0.22051054522147223</v>
      </c>
    </row>
    <row r="82" spans="1:7" x14ac:dyDescent="0.25">
      <c r="A82" s="440" t="s">
        <v>164</v>
      </c>
      <c r="B82" s="441"/>
      <c r="C82" s="442">
        <f>SUM(C78:C81)</f>
        <v>11226524.509999998</v>
      </c>
      <c r="D82" s="442">
        <f>SUM(D78:D81)</f>
        <v>2271458.61</v>
      </c>
      <c r="E82" s="442">
        <f>SUM(E78:E81)</f>
        <v>13497983.120000001</v>
      </c>
      <c r="G82" s="443">
        <f>SUM(G78:G81)</f>
        <v>1</v>
      </c>
    </row>
    <row r="84" spans="1:7" x14ac:dyDescent="0.25">
      <c r="A84" s="440" t="s">
        <v>31</v>
      </c>
      <c r="B84" s="441"/>
      <c r="C84" s="442">
        <f>C14+C20+C26+C32+C44+C56+C62+C70+C76+C82+C50+C38+C60</f>
        <v>319787700.65999961</v>
      </c>
      <c r="D84" s="442">
        <f>D14+D20+D26+D32+D44+D56+D62+D70+D76+D82+D50+D38+D60</f>
        <v>145414884.71000004</v>
      </c>
      <c r="E84" s="442">
        <f>E14+E20+E26+E32+E44+E56+E62+E70+E76+E82+E50+E38+E60</f>
        <v>465202585.36999953</v>
      </c>
    </row>
  </sheetData>
  <pageMargins left="0.75" right="0.75" top="0.75" bottom="0.75" header="0.5" footer="0.5"/>
  <pageSetup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pane ySplit="8" topLeftCell="A44" activePane="bottomLeft" state="frozenSplit"/>
      <selection pane="bottomLeft" activeCell="H57" sqref="H57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5" width="22.6640625" style="343" customWidth="1"/>
    <col min="6" max="6" width="9.109375" style="367"/>
    <col min="7" max="7" width="11.5546875" style="367" bestFit="1" customWidth="1"/>
    <col min="8" max="8" width="10.33203125" style="367" bestFit="1" customWidth="1"/>
    <col min="9" max="16384" width="9.109375" style="367"/>
  </cols>
  <sheetData>
    <row r="1" spans="1:5" x14ac:dyDescent="0.25">
      <c r="C1" s="424" t="s">
        <v>53</v>
      </c>
      <c r="D1" s="338"/>
      <c r="E1" s="338"/>
    </row>
    <row r="2" spans="1:5" x14ac:dyDescent="0.25">
      <c r="C2" s="425" t="s">
        <v>86</v>
      </c>
      <c r="D2" s="340"/>
      <c r="E2" s="340"/>
    </row>
    <row r="3" spans="1:5" x14ac:dyDescent="0.25">
      <c r="C3" s="424" t="s">
        <v>345</v>
      </c>
      <c r="D3" s="338"/>
      <c r="E3" s="338"/>
    </row>
    <row r="4" spans="1:5" x14ac:dyDescent="0.25">
      <c r="C4" s="424" t="s">
        <v>88</v>
      </c>
      <c r="D4" s="338"/>
      <c r="E4" s="338"/>
    </row>
    <row r="5" spans="1:5" x14ac:dyDescent="0.25">
      <c r="C5" s="426" t="s">
        <v>346</v>
      </c>
      <c r="D5" s="342"/>
      <c r="E5" s="342"/>
    </row>
    <row r="7" spans="1:5" x14ac:dyDescent="0.25">
      <c r="B7" s="370" t="s">
        <v>30</v>
      </c>
      <c r="C7" s="345" t="s">
        <v>90</v>
      </c>
      <c r="D7" s="345" t="s">
        <v>167</v>
      </c>
      <c r="E7" s="345" t="s">
        <v>92</v>
      </c>
    </row>
    <row r="9" spans="1:5" x14ac:dyDescent="0.25">
      <c r="A9" s="371" t="s">
        <v>93</v>
      </c>
      <c r="B9" s="371" t="s">
        <v>34</v>
      </c>
      <c r="C9" s="347">
        <v>557598059.19000006</v>
      </c>
      <c r="D9" s="347">
        <v>205670426.18000001</v>
      </c>
      <c r="E9" s="347">
        <v>763268485.37</v>
      </c>
    </row>
    <row r="10" spans="1:5" x14ac:dyDescent="0.25">
      <c r="A10" s="371" t="s">
        <v>94</v>
      </c>
      <c r="B10" s="371" t="s">
        <v>35</v>
      </c>
      <c r="C10" s="343">
        <v>1073725587.36</v>
      </c>
      <c r="D10" s="343">
        <v>404745565.87</v>
      </c>
      <c r="E10" s="343">
        <v>1478471153.23</v>
      </c>
    </row>
    <row r="11" spans="1:5" x14ac:dyDescent="0.25">
      <c r="A11" s="371" t="s">
        <v>95</v>
      </c>
      <c r="B11" s="371" t="s">
        <v>36</v>
      </c>
      <c r="C11" s="343">
        <v>530609742.12</v>
      </c>
      <c r="D11" s="343">
        <v>221702741.27000001</v>
      </c>
      <c r="E11" s="343">
        <v>752312483.38999999</v>
      </c>
    </row>
    <row r="12" spans="1:5" x14ac:dyDescent="0.25">
      <c r="A12" s="371" t="s">
        <v>96</v>
      </c>
      <c r="B12" s="371" t="s">
        <v>37</v>
      </c>
      <c r="C12" s="343">
        <v>21725048.170000002</v>
      </c>
      <c r="D12" s="343">
        <v>8592181.6300000008</v>
      </c>
      <c r="E12" s="343">
        <v>30317229.800000001</v>
      </c>
    </row>
    <row r="13" spans="1:5" x14ac:dyDescent="0.25">
      <c r="A13" s="371" t="s">
        <v>97</v>
      </c>
      <c r="B13" s="371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72" t="s">
        <v>98</v>
      </c>
      <c r="B14" s="373"/>
      <c r="C14" s="350">
        <f>SUM(C9:C13)</f>
        <v>2183658436.8400002</v>
      </c>
      <c r="D14" s="350">
        <f>SUM(D9:D13)</f>
        <v>840710914.94999993</v>
      </c>
      <c r="E14" s="350">
        <f>SUM(E9:E13)</f>
        <v>3024369351.79</v>
      </c>
    </row>
    <row r="16" spans="1:5" x14ac:dyDescent="0.25">
      <c r="A16" s="371" t="s">
        <v>99</v>
      </c>
      <c r="B16" s="371" t="s">
        <v>100</v>
      </c>
      <c r="C16" s="343">
        <v>269339.76</v>
      </c>
      <c r="D16" s="343">
        <v>171295.51</v>
      </c>
      <c r="E16" s="343">
        <v>440635.27</v>
      </c>
    </row>
    <row r="17" spans="1:5" x14ac:dyDescent="0.25">
      <c r="A17" s="371" t="s">
        <v>101</v>
      </c>
      <c r="B17" s="371" t="s">
        <v>102</v>
      </c>
      <c r="C17" s="343">
        <v>518135.01</v>
      </c>
      <c r="D17" s="343">
        <v>337098.64</v>
      </c>
      <c r="E17" s="343">
        <v>855233.65</v>
      </c>
    </row>
    <row r="18" spans="1:5" x14ac:dyDescent="0.25">
      <c r="A18" s="371" t="s">
        <v>103</v>
      </c>
      <c r="B18" s="371" t="s">
        <v>104</v>
      </c>
      <c r="C18" s="343">
        <v>443125.36</v>
      </c>
      <c r="D18" s="343">
        <v>244847.7</v>
      </c>
      <c r="E18" s="343">
        <v>687973.06</v>
      </c>
    </row>
    <row r="19" spans="1:5" x14ac:dyDescent="0.25">
      <c r="A19" s="371" t="s">
        <v>105</v>
      </c>
      <c r="B19" s="371" t="s">
        <v>106</v>
      </c>
      <c r="C19" s="343">
        <v>9902.0300000000007</v>
      </c>
      <c r="D19" s="343">
        <v>6984.44</v>
      </c>
      <c r="E19" s="343">
        <v>16886.47</v>
      </c>
    </row>
    <row r="20" spans="1:5" x14ac:dyDescent="0.25">
      <c r="A20" s="372" t="s">
        <v>107</v>
      </c>
      <c r="B20" s="373"/>
      <c r="C20" s="350">
        <f>SUM(C16:C19)</f>
        <v>1240502.1599999999</v>
      </c>
      <c r="D20" s="350">
        <f>SUM(D16:D19)</f>
        <v>760226.29</v>
      </c>
      <c r="E20" s="350">
        <f>SUM(E16:E19)</f>
        <v>2000728.45</v>
      </c>
    </row>
    <row r="22" spans="1:5" x14ac:dyDescent="0.25">
      <c r="A22" s="371" t="s">
        <v>108</v>
      </c>
      <c r="B22" s="371" t="s">
        <v>109</v>
      </c>
      <c r="C22" s="343">
        <v>-277445.71999999997</v>
      </c>
      <c r="D22" s="343">
        <v>60307.85</v>
      </c>
      <c r="E22" s="343">
        <v>-217137.87</v>
      </c>
    </row>
    <row r="23" spans="1:5" x14ac:dyDescent="0.25">
      <c r="A23" s="371" t="s">
        <v>110</v>
      </c>
      <c r="B23" s="371" t="s">
        <v>111</v>
      </c>
      <c r="C23" s="343">
        <v>-534259.5</v>
      </c>
      <c r="D23" s="343">
        <v>118643.28</v>
      </c>
      <c r="E23" s="343">
        <v>-415616.22</v>
      </c>
    </row>
    <row r="24" spans="1:5" x14ac:dyDescent="0.25">
      <c r="A24" s="371" t="s">
        <v>112</v>
      </c>
      <c r="B24" s="371" t="s">
        <v>113</v>
      </c>
      <c r="C24" s="343">
        <v>-263437.83</v>
      </c>
      <c r="D24" s="343">
        <v>65091.11</v>
      </c>
      <c r="E24" s="343">
        <v>-198346.72</v>
      </c>
    </row>
    <row r="25" spans="1:5" x14ac:dyDescent="0.25">
      <c r="A25" s="371" t="s">
        <v>114</v>
      </c>
      <c r="B25" s="371" t="s">
        <v>115</v>
      </c>
      <c r="C25" s="343">
        <v>-10750.41</v>
      </c>
      <c r="D25" s="343">
        <v>2514.92</v>
      </c>
      <c r="E25" s="343">
        <v>-8235.49</v>
      </c>
    </row>
    <row r="26" spans="1:5" x14ac:dyDescent="0.25">
      <c r="A26" s="372" t="s">
        <v>116</v>
      </c>
      <c r="B26" s="373"/>
      <c r="C26" s="350">
        <f>SUM(C22:C25)</f>
        <v>-1085893.46</v>
      </c>
      <c r="D26" s="350">
        <f>SUM(D22:D25)</f>
        <v>246557.16</v>
      </c>
      <c r="E26" s="350">
        <f>SUM(E22:E25)</f>
        <v>-839336.29999999993</v>
      </c>
    </row>
    <row r="28" spans="1:5" x14ac:dyDescent="0.25">
      <c r="A28" s="371" t="s">
        <v>117</v>
      </c>
      <c r="B28" s="371" t="s">
        <v>118</v>
      </c>
      <c r="C28" s="343">
        <v>519.9</v>
      </c>
      <c r="D28" s="343">
        <v>0</v>
      </c>
      <c r="E28" s="343">
        <v>519.9</v>
      </c>
    </row>
    <row r="29" spans="1:5" x14ac:dyDescent="0.25">
      <c r="A29" s="371" t="s">
        <v>119</v>
      </c>
      <c r="B29" s="371" t="s">
        <v>120</v>
      </c>
      <c r="C29" s="343">
        <v>1012</v>
      </c>
      <c r="D29" s="343">
        <v>0</v>
      </c>
      <c r="E29" s="343">
        <v>1012</v>
      </c>
    </row>
    <row r="30" spans="1:5" x14ac:dyDescent="0.25">
      <c r="A30" s="371" t="s">
        <v>121</v>
      </c>
      <c r="B30" s="371" t="s">
        <v>122</v>
      </c>
      <c r="C30" s="343">
        <v>446</v>
      </c>
      <c r="D30" s="343">
        <v>0</v>
      </c>
      <c r="E30" s="343">
        <v>446</v>
      </c>
    </row>
    <row r="31" spans="1:5" x14ac:dyDescent="0.25">
      <c r="A31" s="371" t="s">
        <v>123</v>
      </c>
      <c r="B31" s="371" t="s">
        <v>124</v>
      </c>
      <c r="C31" s="343">
        <v>22.1</v>
      </c>
      <c r="D31" s="343">
        <v>0</v>
      </c>
      <c r="E31" s="343">
        <v>22.1</v>
      </c>
    </row>
    <row r="32" spans="1:5" x14ac:dyDescent="0.25">
      <c r="A32" s="372" t="s">
        <v>125</v>
      </c>
      <c r="B32" s="373"/>
      <c r="C32" s="350">
        <f>SUM(C28:C31)</f>
        <v>2000</v>
      </c>
      <c r="D32" s="350">
        <f>SUM(D28:D31)</f>
        <v>0</v>
      </c>
      <c r="E32" s="350">
        <f>SUM(E28:E31)</f>
        <v>2000</v>
      </c>
    </row>
    <row r="34" spans="1:5" x14ac:dyDescent="0.25">
      <c r="A34" s="371" t="s">
        <v>317</v>
      </c>
      <c r="B34" s="371" t="s">
        <v>318</v>
      </c>
      <c r="C34" s="343">
        <v>0</v>
      </c>
      <c r="D34" s="343">
        <v>0</v>
      </c>
      <c r="E34" s="343">
        <v>0</v>
      </c>
    </row>
    <row r="35" spans="1:5" x14ac:dyDescent="0.25">
      <c r="A35" s="371" t="s">
        <v>319</v>
      </c>
      <c r="B35" s="371" t="s">
        <v>320</v>
      </c>
      <c r="C35" s="343">
        <v>0</v>
      </c>
      <c r="D35" s="343">
        <v>0</v>
      </c>
      <c r="E35" s="343">
        <v>0</v>
      </c>
    </row>
    <row r="36" spans="1:5" x14ac:dyDescent="0.25">
      <c r="A36" s="371" t="s">
        <v>321</v>
      </c>
      <c r="B36" s="371" t="s">
        <v>322</v>
      </c>
      <c r="C36" s="343">
        <v>0</v>
      </c>
      <c r="D36" s="343">
        <v>0</v>
      </c>
      <c r="E36" s="343">
        <v>0</v>
      </c>
    </row>
    <row r="37" spans="1:5" x14ac:dyDescent="0.25">
      <c r="A37" s="371" t="s">
        <v>323</v>
      </c>
      <c r="B37" s="371" t="s">
        <v>324</v>
      </c>
      <c r="C37" s="343">
        <v>0</v>
      </c>
      <c r="D37" s="343">
        <v>0</v>
      </c>
      <c r="E37" s="343">
        <v>0</v>
      </c>
    </row>
    <row r="38" spans="1:5" x14ac:dyDescent="0.25">
      <c r="A38" s="372" t="s">
        <v>325</v>
      </c>
      <c r="B38" s="373"/>
      <c r="C38" s="350">
        <f>SUM(C34:C37)</f>
        <v>0</v>
      </c>
      <c r="D38" s="350">
        <f>SUM(D34:D37)</f>
        <v>0</v>
      </c>
      <c r="E38" s="350">
        <f>SUM(E34:E37)</f>
        <v>0</v>
      </c>
    </row>
    <row r="40" spans="1:5" x14ac:dyDescent="0.25">
      <c r="A40" s="371" t="s">
        <v>126</v>
      </c>
      <c r="B40" s="371" t="s">
        <v>347</v>
      </c>
      <c r="C40" s="343">
        <v>-6561980.3700000001</v>
      </c>
      <c r="D40" s="343">
        <v>35566.51</v>
      </c>
      <c r="E40" s="343">
        <v>-6526413.8600000003</v>
      </c>
    </row>
    <row r="41" spans="1:5" x14ac:dyDescent="0.25">
      <c r="A41" s="371" t="s">
        <v>128</v>
      </c>
      <c r="B41" s="371" t="s">
        <v>348</v>
      </c>
      <c r="C41" s="343">
        <v>-12684262.99</v>
      </c>
      <c r="D41" s="343">
        <v>98956.47</v>
      </c>
      <c r="E41" s="343">
        <v>-12585306.52</v>
      </c>
    </row>
    <row r="42" spans="1:5" x14ac:dyDescent="0.25">
      <c r="A42" s="371" t="s">
        <v>130</v>
      </c>
      <c r="B42" s="371" t="s">
        <v>349</v>
      </c>
      <c r="C42" s="343">
        <v>-6063372.3099999996</v>
      </c>
      <c r="D42" s="343">
        <v>36320.42</v>
      </c>
      <c r="E42" s="343">
        <v>-6027051.8899999997</v>
      </c>
    </row>
    <row r="43" spans="1:5" x14ac:dyDescent="0.25">
      <c r="A43" s="371" t="s">
        <v>132</v>
      </c>
      <c r="B43" s="371" t="s">
        <v>350</v>
      </c>
      <c r="C43" s="343">
        <v>-253883.33</v>
      </c>
      <c r="D43" s="343">
        <v>1420.05</v>
      </c>
      <c r="E43" s="343">
        <v>-252463.28</v>
      </c>
    </row>
    <row r="44" spans="1:5" x14ac:dyDescent="0.25">
      <c r="A44" s="372" t="s">
        <v>134</v>
      </c>
      <c r="B44" s="373"/>
      <c r="C44" s="350">
        <f>SUM(C40:C43)</f>
        <v>-25563498.999999996</v>
      </c>
      <c r="D44" s="350">
        <f>SUM(D40:D43)</f>
        <v>172263.45</v>
      </c>
      <c r="E44" s="350">
        <f>SUM(E40:E43)</f>
        <v>-25391235.550000001</v>
      </c>
    </row>
    <row r="46" spans="1:5" x14ac:dyDescent="0.25">
      <c r="A46" s="371" t="s">
        <v>326</v>
      </c>
      <c r="B46" s="371" t="s">
        <v>327</v>
      </c>
      <c r="C46" s="343">
        <v>0</v>
      </c>
      <c r="D46" s="343">
        <v>0</v>
      </c>
      <c r="E46" s="343">
        <v>0</v>
      </c>
    </row>
    <row r="47" spans="1:5" x14ac:dyDescent="0.25">
      <c r="A47" s="371" t="s">
        <v>328</v>
      </c>
      <c r="B47" s="371" t="s">
        <v>329</v>
      </c>
      <c r="C47" s="343">
        <v>10111912</v>
      </c>
      <c r="D47" s="343">
        <v>-12670014</v>
      </c>
      <c r="E47" s="343">
        <v>-2558102</v>
      </c>
    </row>
    <row r="48" spans="1:5" x14ac:dyDescent="0.25">
      <c r="A48" s="371" t="s">
        <v>330</v>
      </c>
      <c r="B48" s="371" t="s">
        <v>331</v>
      </c>
      <c r="C48" s="343">
        <v>-18781854.5</v>
      </c>
      <c r="D48" s="343">
        <v>-7695719.5</v>
      </c>
      <c r="E48" s="343">
        <v>-26477574</v>
      </c>
    </row>
    <row r="49" spans="1:8" x14ac:dyDescent="0.25">
      <c r="A49" s="371" t="s">
        <v>332</v>
      </c>
      <c r="B49" s="371" t="s">
        <v>333</v>
      </c>
      <c r="C49" s="343">
        <v>0</v>
      </c>
      <c r="D49" s="343">
        <v>0</v>
      </c>
      <c r="E49" s="343">
        <v>0</v>
      </c>
    </row>
    <row r="50" spans="1:8" x14ac:dyDescent="0.25">
      <c r="A50" s="372" t="s">
        <v>334</v>
      </c>
      <c r="B50" s="373"/>
      <c r="C50" s="350">
        <f>SUM(C46:C49)</f>
        <v>-8669942.5</v>
      </c>
      <c r="D50" s="350">
        <f>SUM(D46:D49)</f>
        <v>-20365733.5</v>
      </c>
      <c r="E50" s="350">
        <f>SUM(E46:E49)</f>
        <v>-29035676</v>
      </c>
    </row>
    <row r="52" spans="1:8" x14ac:dyDescent="0.25">
      <c r="A52" s="371" t="s">
        <v>135</v>
      </c>
      <c r="B52" s="371" t="s">
        <v>136</v>
      </c>
      <c r="C52" s="343">
        <v>-492891925.07999998</v>
      </c>
      <c r="D52" s="343">
        <v>-156480063.03</v>
      </c>
      <c r="E52" s="343">
        <v>-649371988.11000001</v>
      </c>
    </row>
    <row r="53" spans="1:8" x14ac:dyDescent="0.25">
      <c r="A53" s="371" t="s">
        <v>137</v>
      </c>
      <c r="B53" s="371" t="s">
        <v>138</v>
      </c>
      <c r="C53" s="343">
        <v>-1004410128.89</v>
      </c>
      <c r="D53" s="343">
        <v>-352301443.39999998</v>
      </c>
      <c r="E53" s="343">
        <v>-1356711572.29</v>
      </c>
    </row>
    <row r="54" spans="1:8" x14ac:dyDescent="0.25">
      <c r="A54" s="371" t="s">
        <v>139</v>
      </c>
      <c r="B54" s="371" t="s">
        <v>140</v>
      </c>
      <c r="C54" s="343">
        <v>-493085740.86000001</v>
      </c>
      <c r="D54" s="343">
        <v>-175391705.71000001</v>
      </c>
      <c r="E54" s="343">
        <v>-668477446.57000005</v>
      </c>
    </row>
    <row r="55" spans="1:8" x14ac:dyDescent="0.25">
      <c r="A55" s="371" t="s">
        <v>141</v>
      </c>
      <c r="B55" s="371" t="s">
        <v>142</v>
      </c>
      <c r="C55" s="343">
        <v>-33946111</v>
      </c>
      <c r="D55" s="343">
        <v>-11058076.970000001</v>
      </c>
      <c r="E55" s="343">
        <v>-45004187.969999999</v>
      </c>
    </row>
    <row r="56" spans="1:8" x14ac:dyDescent="0.25">
      <c r="A56" s="372" t="s">
        <v>143</v>
      </c>
      <c r="B56" s="373"/>
      <c r="C56" s="350">
        <f>SUM(C52:C55)</f>
        <v>-2024333905.8299999</v>
      </c>
      <c r="D56" s="350">
        <f>SUM(D52:D55)</f>
        <v>-695231289.11000001</v>
      </c>
      <c r="E56" s="350">
        <f>SUM(E52:E55)</f>
        <v>-2719565194.9400001</v>
      </c>
      <c r="G56" s="367">
        <f>'Feb 12'!C56</f>
        <v>-2719505737.9400001</v>
      </c>
      <c r="H56" s="427">
        <f>+E56-G56</f>
        <v>-59457</v>
      </c>
    </row>
    <row r="58" spans="1:8" x14ac:dyDescent="0.25">
      <c r="A58" s="371" t="s">
        <v>351</v>
      </c>
      <c r="B58" s="371" t="s">
        <v>352</v>
      </c>
      <c r="C58" s="343">
        <v>-80324636.989999995</v>
      </c>
      <c r="D58" s="343">
        <v>6904535.1900000004</v>
      </c>
      <c r="E58" s="343">
        <v>-73420101.799999997</v>
      </c>
    </row>
    <row r="59" spans="1:8" x14ac:dyDescent="0.25">
      <c r="A59" s="371" t="s">
        <v>353</v>
      </c>
      <c r="B59" s="371" t="s">
        <v>354</v>
      </c>
      <c r="C59" s="343">
        <v>-540.66</v>
      </c>
      <c r="D59" s="343">
        <v>0</v>
      </c>
      <c r="E59" s="343">
        <v>-540.66</v>
      </c>
    </row>
    <row r="60" spans="1:8" x14ac:dyDescent="0.25">
      <c r="C60" s="343">
        <f>SUM(C58:C59)</f>
        <v>-80325177.649999991</v>
      </c>
      <c r="D60" s="343">
        <f>SUM(D58:D59)</f>
        <v>6904535.1900000004</v>
      </c>
      <c r="E60" s="343">
        <f>SUM(E58:E59)</f>
        <v>-73420642.459999993</v>
      </c>
    </row>
    <row r="62" spans="1:8" x14ac:dyDescent="0.25">
      <c r="A62" s="372" t="s">
        <v>144</v>
      </c>
      <c r="B62" s="372" t="s">
        <v>39</v>
      </c>
      <c r="C62" s="350">
        <v>0</v>
      </c>
      <c r="D62" s="350">
        <v>0</v>
      </c>
      <c r="E62" s="350">
        <v>0</v>
      </c>
    </row>
    <row r="63" spans="1:8" x14ac:dyDescent="0.25">
      <c r="A63" s="371" t="s">
        <v>145</v>
      </c>
    </row>
    <row r="66" spans="1:5" x14ac:dyDescent="0.25">
      <c r="A66" s="371" t="s">
        <v>146</v>
      </c>
      <c r="B66" s="371" t="s">
        <v>80</v>
      </c>
      <c r="C66" s="343">
        <v>0</v>
      </c>
      <c r="D66" s="343">
        <v>0</v>
      </c>
      <c r="E66" s="343">
        <v>0</v>
      </c>
    </row>
    <row r="67" spans="1:5" x14ac:dyDescent="0.25">
      <c r="A67" s="371" t="s">
        <v>147</v>
      </c>
      <c r="B67" s="371" t="s">
        <v>81</v>
      </c>
      <c r="C67" s="343">
        <v>0</v>
      </c>
      <c r="D67" s="343">
        <v>0</v>
      </c>
      <c r="E67" s="343">
        <v>0</v>
      </c>
    </row>
    <row r="68" spans="1:5" x14ac:dyDescent="0.25">
      <c r="A68" s="371" t="s">
        <v>148</v>
      </c>
      <c r="B68" s="371" t="s">
        <v>82</v>
      </c>
      <c r="C68" s="343">
        <v>0</v>
      </c>
      <c r="D68" s="343">
        <v>0</v>
      </c>
      <c r="E68" s="343">
        <v>0</v>
      </c>
    </row>
    <row r="69" spans="1:5" x14ac:dyDescent="0.25">
      <c r="A69" s="371" t="s">
        <v>149</v>
      </c>
      <c r="B69" s="371" t="s">
        <v>83</v>
      </c>
      <c r="C69" s="343">
        <v>0</v>
      </c>
      <c r="D69" s="343">
        <v>0</v>
      </c>
      <c r="E69" s="343">
        <v>0</v>
      </c>
    </row>
    <row r="70" spans="1:5" x14ac:dyDescent="0.25">
      <c r="A70" s="372" t="s">
        <v>150</v>
      </c>
      <c r="B70" s="373"/>
      <c r="C70" s="350">
        <f>SUM(C66:C69)</f>
        <v>0</v>
      </c>
      <c r="D70" s="350">
        <f>SUM(D66:D69)</f>
        <v>0</v>
      </c>
      <c r="E70" s="350">
        <f>SUM(E66:E69)</f>
        <v>0</v>
      </c>
    </row>
    <row r="72" spans="1:5" x14ac:dyDescent="0.25">
      <c r="A72" s="371" t="s">
        <v>151</v>
      </c>
      <c r="B72" s="371" t="s">
        <v>40</v>
      </c>
      <c r="C72" s="343">
        <v>-17469923.710000001</v>
      </c>
      <c r="D72" s="343">
        <v>-5353071.93</v>
      </c>
      <c r="E72" s="343">
        <v>-22822995.640000001</v>
      </c>
    </row>
    <row r="73" spans="1:5" x14ac:dyDescent="0.25">
      <c r="A73" s="371" t="s">
        <v>152</v>
      </c>
      <c r="B73" s="371" t="s">
        <v>41</v>
      </c>
      <c r="C73" s="343">
        <v>-4055245.83</v>
      </c>
      <c r="D73" s="343">
        <v>-1111604</v>
      </c>
      <c r="E73" s="343">
        <v>-5166849.83</v>
      </c>
    </row>
    <row r="74" spans="1:5" x14ac:dyDescent="0.25">
      <c r="A74" s="371" t="s">
        <v>153</v>
      </c>
      <c r="B74" s="371" t="s">
        <v>42</v>
      </c>
      <c r="C74" s="343">
        <v>-1428524.93</v>
      </c>
      <c r="D74" s="343">
        <v>-433306.11</v>
      </c>
      <c r="E74" s="343">
        <v>-1861831.04</v>
      </c>
    </row>
    <row r="75" spans="1:5" x14ac:dyDescent="0.25">
      <c r="A75" s="371" t="s">
        <v>154</v>
      </c>
      <c r="B75" s="371" t="s">
        <v>43</v>
      </c>
      <c r="C75" s="343">
        <v>-3219645.12</v>
      </c>
      <c r="D75" s="343">
        <v>-960590.93</v>
      </c>
      <c r="E75" s="343">
        <v>-4180236.05</v>
      </c>
    </row>
    <row r="76" spans="1:5" x14ac:dyDescent="0.25">
      <c r="A76" s="372" t="s">
        <v>155</v>
      </c>
      <c r="B76" s="373"/>
      <c r="C76" s="350">
        <f>SUM(C72:C75)</f>
        <v>-26173339.59</v>
      </c>
      <c r="D76" s="350">
        <f>SUM(D72:D75)</f>
        <v>-7858572.9699999997</v>
      </c>
      <c r="E76" s="350">
        <f>SUM(E72:E75)</f>
        <v>-34031912.559999995</v>
      </c>
    </row>
    <row r="78" spans="1:5" x14ac:dyDescent="0.25">
      <c r="A78" s="371" t="s">
        <v>156</v>
      </c>
      <c r="B78" s="371" t="s">
        <v>157</v>
      </c>
      <c r="C78" s="343">
        <v>2243187.2599999998</v>
      </c>
      <c r="D78" s="343">
        <v>11724.2</v>
      </c>
      <c r="E78" s="343">
        <v>2254911.46</v>
      </c>
    </row>
    <row r="79" spans="1:5" x14ac:dyDescent="0.25">
      <c r="A79" s="371" t="s">
        <v>158</v>
      </c>
      <c r="B79" s="371" t="s">
        <v>159</v>
      </c>
      <c r="C79" s="343">
        <v>2554641.1</v>
      </c>
      <c r="D79" s="343">
        <v>1306053.83</v>
      </c>
      <c r="E79" s="343">
        <v>3860694.93</v>
      </c>
    </row>
    <row r="80" spans="1:5" x14ac:dyDescent="0.25">
      <c r="A80" s="371" t="s">
        <v>160</v>
      </c>
      <c r="B80" s="371" t="s">
        <v>161</v>
      </c>
      <c r="C80" s="343">
        <v>77203.12</v>
      </c>
      <c r="D80" s="343">
        <v>65625.289999999994</v>
      </c>
      <c r="E80" s="343">
        <v>142828.41</v>
      </c>
    </row>
    <row r="81" spans="1:5" x14ac:dyDescent="0.25">
      <c r="A81" s="371" t="s">
        <v>162</v>
      </c>
      <c r="B81" s="371" t="s">
        <v>163</v>
      </c>
      <c r="C81" s="343">
        <v>1886279</v>
      </c>
      <c r="D81" s="343">
        <v>921142.12</v>
      </c>
      <c r="E81" s="343">
        <v>2807421.12</v>
      </c>
    </row>
    <row r="82" spans="1:5" x14ac:dyDescent="0.25">
      <c r="A82" s="372" t="s">
        <v>164</v>
      </c>
      <c r="B82" s="373"/>
      <c r="C82" s="350">
        <f>SUM(C78:C81)</f>
        <v>6761310.4799999995</v>
      </c>
      <c r="D82" s="350">
        <f>SUM(D78:D81)</f>
        <v>2304545.44</v>
      </c>
      <c r="E82" s="350">
        <f>SUM(E78:E81)</f>
        <v>9065855.9200000018</v>
      </c>
    </row>
    <row r="84" spans="1:5" x14ac:dyDescent="0.25">
      <c r="A84" s="372" t="s">
        <v>31</v>
      </c>
      <c r="B84" s="373"/>
      <c r="C84" s="350">
        <f>C14+C20+C26+C32+C44+C56+C62+C70+C76+C82+C50+C38+C60</f>
        <v>25510491.450000048</v>
      </c>
      <c r="D84" s="350">
        <f>D14+D20+D26+D32+D44+D56+D62+D70+D76+D82+D50+D38+D60</f>
        <v>127643446.89999989</v>
      </c>
      <c r="E84" s="350">
        <f>E14+E20+E26+E32+E44+E56+E62+E70+E76+E82+E50+E38+E60</f>
        <v>153153938.34999937</v>
      </c>
    </row>
  </sheetData>
  <pageMargins left="0.75" right="0.75" top="0.75" bottom="0.75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7" activePane="bottomLeft" state="frozenSplit"/>
      <selection activeCell="D78" sqref="D78"/>
      <selection pane="bottomLeft" activeCell="H84" sqref="H84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5" width="22.6640625" style="343" customWidth="1"/>
    <col min="6" max="16384" width="9.109375" style="367"/>
  </cols>
  <sheetData>
    <row r="1" spans="1:5" x14ac:dyDescent="0.25">
      <c r="C1" s="424" t="s">
        <v>53</v>
      </c>
      <c r="D1" s="338"/>
      <c r="E1" s="338"/>
    </row>
    <row r="2" spans="1:5" x14ac:dyDescent="0.25">
      <c r="C2" s="425" t="s">
        <v>86</v>
      </c>
      <c r="D2" s="340"/>
      <c r="E2" s="340"/>
    </row>
    <row r="3" spans="1:5" x14ac:dyDescent="0.25">
      <c r="C3" s="424" t="s">
        <v>355</v>
      </c>
      <c r="D3" s="338"/>
      <c r="E3" s="338"/>
    </row>
    <row r="4" spans="1:5" x14ac:dyDescent="0.25">
      <c r="C4" s="424" t="s">
        <v>88</v>
      </c>
      <c r="D4" s="338"/>
      <c r="E4" s="338"/>
    </row>
    <row r="5" spans="1:5" x14ac:dyDescent="0.25">
      <c r="C5" s="426" t="s">
        <v>356</v>
      </c>
      <c r="D5" s="342"/>
      <c r="E5" s="342"/>
    </row>
    <row r="7" spans="1:5" x14ac:dyDescent="0.25">
      <c r="B7" s="370" t="s">
        <v>30</v>
      </c>
      <c r="C7" s="345" t="s">
        <v>90</v>
      </c>
      <c r="D7" s="345" t="s">
        <v>170</v>
      </c>
      <c r="E7" s="345" t="s">
        <v>92</v>
      </c>
    </row>
    <row r="9" spans="1:5" x14ac:dyDescent="0.25">
      <c r="A9" s="371" t="s">
        <v>93</v>
      </c>
      <c r="B9" s="371" t="s">
        <v>34</v>
      </c>
      <c r="C9" s="347">
        <v>763268485.37</v>
      </c>
      <c r="D9" s="347">
        <v>205473104.96000001</v>
      </c>
      <c r="E9" s="347">
        <v>968741590.33000004</v>
      </c>
    </row>
    <row r="10" spans="1:5" x14ac:dyDescent="0.25">
      <c r="A10" s="371" t="s">
        <v>94</v>
      </c>
      <c r="B10" s="371" t="s">
        <v>35</v>
      </c>
      <c r="C10" s="343">
        <v>1478471153.23</v>
      </c>
      <c r="D10" s="343">
        <v>404348415.23000002</v>
      </c>
      <c r="E10" s="343">
        <v>1882819568.46</v>
      </c>
    </row>
    <row r="11" spans="1:5" x14ac:dyDescent="0.25">
      <c r="A11" s="371" t="s">
        <v>95</v>
      </c>
      <c r="B11" s="371" t="s">
        <v>36</v>
      </c>
      <c r="C11" s="343">
        <v>752312483.38999999</v>
      </c>
      <c r="D11" s="343">
        <v>221651212.75999999</v>
      </c>
      <c r="E11" s="343">
        <v>973963696.14999998</v>
      </c>
    </row>
    <row r="12" spans="1:5" x14ac:dyDescent="0.25">
      <c r="A12" s="371" t="s">
        <v>96</v>
      </c>
      <c r="B12" s="371" t="s">
        <v>37</v>
      </c>
      <c r="C12" s="343">
        <v>30317229.800000001</v>
      </c>
      <c r="D12" s="343">
        <v>8585062.9900000002</v>
      </c>
      <c r="E12" s="343">
        <v>38902292.789999999</v>
      </c>
    </row>
    <row r="13" spans="1:5" x14ac:dyDescent="0.25">
      <c r="A13" s="371" t="s">
        <v>97</v>
      </c>
      <c r="B13" s="371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72" t="s">
        <v>98</v>
      </c>
      <c r="B14" s="373"/>
      <c r="C14" s="350">
        <f>SUM(C9:C13)</f>
        <v>3024369351.79</v>
      </c>
      <c r="D14" s="350">
        <f>SUM(D9:D13)</f>
        <v>840057795.94000006</v>
      </c>
      <c r="E14" s="350">
        <f>SUM(E9:E13)</f>
        <v>3864427147.73</v>
      </c>
    </row>
    <row r="16" spans="1:5" x14ac:dyDescent="0.25">
      <c r="A16" s="371" t="s">
        <v>99</v>
      </c>
      <c r="B16" s="371" t="s">
        <v>100</v>
      </c>
      <c r="C16" s="343">
        <v>440635.27</v>
      </c>
      <c r="D16" s="343">
        <v>156365.39000000001</v>
      </c>
      <c r="E16" s="343">
        <v>597000.66</v>
      </c>
    </row>
    <row r="17" spans="1:5" x14ac:dyDescent="0.25">
      <c r="A17" s="371" t="s">
        <v>101</v>
      </c>
      <c r="B17" s="371" t="s">
        <v>102</v>
      </c>
      <c r="C17" s="343">
        <v>855233.65</v>
      </c>
      <c r="D17" s="343">
        <v>307611.46999999997</v>
      </c>
      <c r="E17" s="343">
        <v>1162845.1200000001</v>
      </c>
    </row>
    <row r="18" spans="1:5" x14ac:dyDescent="0.25">
      <c r="A18" s="371" t="s">
        <v>103</v>
      </c>
      <c r="B18" s="371" t="s">
        <v>104</v>
      </c>
      <c r="C18" s="343">
        <v>687973.06</v>
      </c>
      <c r="D18" s="343">
        <v>236881.22</v>
      </c>
      <c r="E18" s="343">
        <v>924854.28</v>
      </c>
    </row>
    <row r="19" spans="1:5" x14ac:dyDescent="0.25">
      <c r="A19" s="371" t="s">
        <v>105</v>
      </c>
      <c r="B19" s="371" t="s">
        <v>106</v>
      </c>
      <c r="C19" s="343">
        <v>16886.47</v>
      </c>
      <c r="D19" s="343">
        <v>6362.91</v>
      </c>
      <c r="E19" s="343">
        <v>23249.38</v>
      </c>
    </row>
    <row r="20" spans="1:5" x14ac:dyDescent="0.25">
      <c r="A20" s="372" t="s">
        <v>107</v>
      </c>
      <c r="B20" s="373"/>
      <c r="C20" s="350">
        <f>SUM(C16:C19)</f>
        <v>2000728.45</v>
      </c>
      <c r="D20" s="350">
        <f>SUM(D16:D19)</f>
        <v>707220.99</v>
      </c>
      <c r="E20" s="350">
        <f>SUM(E16:E19)</f>
        <v>2707949.4400000004</v>
      </c>
    </row>
    <row r="22" spans="1:5" x14ac:dyDescent="0.25">
      <c r="A22" s="371" t="s">
        <v>108</v>
      </c>
      <c r="B22" s="371" t="s">
        <v>109</v>
      </c>
      <c r="C22" s="343">
        <v>-217137.87</v>
      </c>
      <c r="D22" s="343">
        <v>45776.98</v>
      </c>
      <c r="E22" s="343">
        <v>-171360.89</v>
      </c>
    </row>
    <row r="23" spans="1:5" x14ac:dyDescent="0.25">
      <c r="A23" s="371" t="s">
        <v>110</v>
      </c>
      <c r="B23" s="371" t="s">
        <v>111</v>
      </c>
      <c r="C23" s="343">
        <v>-415616.22</v>
      </c>
      <c r="D23" s="343">
        <v>90056.68</v>
      </c>
      <c r="E23" s="343">
        <v>-325559.53999999998</v>
      </c>
    </row>
    <row r="24" spans="1:5" x14ac:dyDescent="0.25">
      <c r="A24" s="371" t="s">
        <v>112</v>
      </c>
      <c r="B24" s="371" t="s">
        <v>113</v>
      </c>
      <c r="C24" s="343">
        <v>-198346.72</v>
      </c>
      <c r="D24" s="343">
        <v>49407.67</v>
      </c>
      <c r="E24" s="343">
        <v>-148939.04999999999</v>
      </c>
    </row>
    <row r="25" spans="1:5" x14ac:dyDescent="0.25">
      <c r="A25" s="371" t="s">
        <v>114</v>
      </c>
      <c r="B25" s="371" t="s">
        <v>115</v>
      </c>
      <c r="C25" s="343">
        <v>-8235.49</v>
      </c>
      <c r="D25" s="343">
        <v>1908.86</v>
      </c>
      <c r="E25" s="343">
        <v>-6326.63</v>
      </c>
    </row>
    <row r="26" spans="1:5" x14ac:dyDescent="0.25">
      <c r="A26" s="372" t="s">
        <v>116</v>
      </c>
      <c r="B26" s="373"/>
      <c r="C26" s="350">
        <f>SUM(C22:C25)</f>
        <v>-839336.29999999993</v>
      </c>
      <c r="D26" s="350">
        <f>SUM(D22:D25)</f>
        <v>187150.19</v>
      </c>
      <c r="E26" s="350">
        <f>SUM(E22:E25)</f>
        <v>-652186.11</v>
      </c>
    </row>
    <row r="28" spans="1:5" x14ac:dyDescent="0.25">
      <c r="A28" s="371" t="s">
        <v>117</v>
      </c>
      <c r="B28" s="371" t="s">
        <v>118</v>
      </c>
      <c r="C28" s="343">
        <v>519.9</v>
      </c>
      <c r="D28" s="343">
        <v>244.6</v>
      </c>
      <c r="E28" s="343">
        <v>764.5</v>
      </c>
    </row>
    <row r="29" spans="1:5" x14ac:dyDescent="0.25">
      <c r="A29" s="371" t="s">
        <v>119</v>
      </c>
      <c r="B29" s="371" t="s">
        <v>120</v>
      </c>
      <c r="C29" s="343">
        <v>1012</v>
      </c>
      <c r="D29" s="343">
        <v>481.2</v>
      </c>
      <c r="E29" s="343">
        <v>1493.2</v>
      </c>
    </row>
    <row r="30" spans="1:5" x14ac:dyDescent="0.25">
      <c r="A30" s="371" t="s">
        <v>121</v>
      </c>
      <c r="B30" s="371" t="s">
        <v>122</v>
      </c>
      <c r="C30" s="343">
        <v>446</v>
      </c>
      <c r="D30" s="343">
        <v>264</v>
      </c>
      <c r="E30" s="343">
        <v>710</v>
      </c>
    </row>
    <row r="31" spans="1:5" x14ac:dyDescent="0.25">
      <c r="A31" s="371" t="s">
        <v>123</v>
      </c>
      <c r="B31" s="371" t="s">
        <v>124</v>
      </c>
      <c r="C31" s="343">
        <v>22.1</v>
      </c>
      <c r="D31" s="343">
        <v>10.199999999999999</v>
      </c>
      <c r="E31" s="343">
        <v>32.299999999999997</v>
      </c>
    </row>
    <row r="32" spans="1:5" x14ac:dyDescent="0.25">
      <c r="A32" s="372" t="s">
        <v>125</v>
      </c>
      <c r="B32" s="373"/>
      <c r="C32" s="350">
        <f>SUM(C28:C31)</f>
        <v>2000</v>
      </c>
      <c r="D32" s="350">
        <f>SUM(D28:D31)</f>
        <v>1000</v>
      </c>
      <c r="E32" s="350">
        <f>SUM(E28:E31)</f>
        <v>3000</v>
      </c>
    </row>
    <row r="34" spans="1:5" x14ac:dyDescent="0.25">
      <c r="A34" s="371" t="s">
        <v>317</v>
      </c>
      <c r="B34" s="371" t="s">
        <v>318</v>
      </c>
      <c r="C34" s="343">
        <v>0</v>
      </c>
      <c r="D34" s="343">
        <v>0</v>
      </c>
      <c r="E34" s="343">
        <v>0</v>
      </c>
    </row>
    <row r="35" spans="1:5" x14ac:dyDescent="0.25">
      <c r="A35" s="371" t="s">
        <v>319</v>
      </c>
      <c r="B35" s="371" t="s">
        <v>320</v>
      </c>
      <c r="C35" s="343">
        <v>0</v>
      </c>
      <c r="D35" s="343">
        <v>0</v>
      </c>
      <c r="E35" s="343">
        <v>0</v>
      </c>
    </row>
    <row r="36" spans="1:5" x14ac:dyDescent="0.25">
      <c r="A36" s="371" t="s">
        <v>321</v>
      </c>
      <c r="B36" s="371" t="s">
        <v>322</v>
      </c>
      <c r="C36" s="343">
        <v>0</v>
      </c>
      <c r="D36" s="343">
        <v>0</v>
      </c>
      <c r="E36" s="343">
        <v>0</v>
      </c>
    </row>
    <row r="37" spans="1:5" x14ac:dyDescent="0.25">
      <c r="A37" s="371" t="s">
        <v>323</v>
      </c>
      <c r="B37" s="371" t="s">
        <v>324</v>
      </c>
      <c r="C37" s="343">
        <v>0</v>
      </c>
      <c r="D37" s="343">
        <v>0</v>
      </c>
      <c r="E37" s="343">
        <v>0</v>
      </c>
    </row>
    <row r="38" spans="1:5" x14ac:dyDescent="0.25">
      <c r="A38" s="372" t="s">
        <v>325</v>
      </c>
      <c r="B38" s="373"/>
      <c r="C38" s="350">
        <f>SUM(C34:C37)</f>
        <v>0</v>
      </c>
      <c r="D38" s="350">
        <f>SUM(D34:D37)</f>
        <v>0</v>
      </c>
      <c r="E38" s="350">
        <f>SUM(E34:E37)</f>
        <v>0</v>
      </c>
    </row>
    <row r="40" spans="1:5" x14ac:dyDescent="0.25">
      <c r="A40" s="371" t="s">
        <v>126</v>
      </c>
      <c r="B40" s="371" t="s">
        <v>347</v>
      </c>
      <c r="C40" s="343">
        <v>-6526413.8600000003</v>
      </c>
      <c r="D40" s="343">
        <v>425981.99</v>
      </c>
      <c r="E40" s="343">
        <v>-6100431.8700000001</v>
      </c>
    </row>
    <row r="41" spans="1:5" x14ac:dyDescent="0.25">
      <c r="A41" s="371" t="s">
        <v>128</v>
      </c>
      <c r="B41" s="371" t="s">
        <v>348</v>
      </c>
      <c r="C41" s="343">
        <v>-12585306.52</v>
      </c>
      <c r="D41" s="343">
        <v>840405.04</v>
      </c>
      <c r="E41" s="343">
        <v>-11744901.48</v>
      </c>
    </row>
    <row r="42" spans="1:5" x14ac:dyDescent="0.25">
      <c r="A42" s="371" t="s">
        <v>130</v>
      </c>
      <c r="B42" s="371" t="s">
        <v>349</v>
      </c>
      <c r="C42" s="343">
        <v>-6027051.8899999997</v>
      </c>
      <c r="D42" s="343">
        <v>458930.34</v>
      </c>
      <c r="E42" s="343">
        <v>-5568121.5499999998</v>
      </c>
    </row>
    <row r="43" spans="1:5" x14ac:dyDescent="0.25">
      <c r="A43" s="371" t="s">
        <v>132</v>
      </c>
      <c r="B43" s="371" t="s">
        <v>350</v>
      </c>
      <c r="C43" s="343">
        <v>-252463.28</v>
      </c>
      <c r="D43" s="343">
        <v>17763.759999999998</v>
      </c>
      <c r="E43" s="343">
        <v>-234699.51999999999</v>
      </c>
    </row>
    <row r="44" spans="1:5" x14ac:dyDescent="0.25">
      <c r="A44" s="372" t="s">
        <v>134</v>
      </c>
      <c r="B44" s="373"/>
      <c r="C44" s="350">
        <f>SUM(C40:C43)</f>
        <v>-25391235.550000001</v>
      </c>
      <c r="D44" s="350">
        <f>SUM(D40:D43)</f>
        <v>1743081.1300000001</v>
      </c>
      <c r="E44" s="350">
        <f>SUM(E40:E43)</f>
        <v>-23648154.420000002</v>
      </c>
    </row>
    <row r="46" spans="1:5" x14ac:dyDescent="0.25">
      <c r="A46" s="371" t="s">
        <v>326</v>
      </c>
      <c r="B46" s="371" t="s">
        <v>327</v>
      </c>
      <c r="C46" s="343">
        <v>0</v>
      </c>
      <c r="D46" s="343">
        <v>0</v>
      </c>
      <c r="E46" s="343">
        <v>0</v>
      </c>
    </row>
    <row r="47" spans="1:5" x14ac:dyDescent="0.25">
      <c r="A47" s="371" t="s">
        <v>328</v>
      </c>
      <c r="B47" s="371" t="s">
        <v>329</v>
      </c>
      <c r="C47" s="343">
        <v>-2558102</v>
      </c>
      <c r="D47" s="343">
        <v>9723287</v>
      </c>
      <c r="E47" s="343">
        <v>7165185</v>
      </c>
    </row>
    <row r="48" spans="1:5" x14ac:dyDescent="0.25">
      <c r="A48" s="371" t="s">
        <v>330</v>
      </c>
      <c r="B48" s="371" t="s">
        <v>331</v>
      </c>
      <c r="C48" s="343">
        <v>-26477574</v>
      </c>
      <c r="D48" s="343">
        <v>-3897492</v>
      </c>
      <c r="E48" s="343">
        <v>-30375066</v>
      </c>
    </row>
    <row r="49" spans="1:5" x14ac:dyDescent="0.25">
      <c r="A49" s="371" t="s">
        <v>332</v>
      </c>
      <c r="B49" s="371" t="s">
        <v>333</v>
      </c>
      <c r="C49" s="343">
        <v>0</v>
      </c>
      <c r="D49" s="343">
        <v>0</v>
      </c>
      <c r="E49" s="343">
        <v>0</v>
      </c>
    </row>
    <row r="50" spans="1:5" x14ac:dyDescent="0.25">
      <c r="A50" s="372" t="s">
        <v>334</v>
      </c>
      <c r="B50" s="373"/>
      <c r="C50" s="350">
        <f>SUM(C46:C49)</f>
        <v>-29035676</v>
      </c>
      <c r="D50" s="350">
        <f>SUM(D46:D49)</f>
        <v>5825795</v>
      </c>
      <c r="E50" s="350">
        <f>SUM(E46:E49)</f>
        <v>-23209881</v>
      </c>
    </row>
    <row r="52" spans="1:5" x14ac:dyDescent="0.25">
      <c r="A52" s="371" t="s">
        <v>135</v>
      </c>
      <c r="B52" s="371" t="s">
        <v>136</v>
      </c>
      <c r="C52" s="343">
        <v>-649371988.11000001</v>
      </c>
      <c r="D52" s="343">
        <v>-145964562.28999999</v>
      </c>
      <c r="E52" s="343">
        <v>-795336550.39999998</v>
      </c>
    </row>
    <row r="53" spans="1:5" x14ac:dyDescent="0.25">
      <c r="A53" s="371" t="s">
        <v>137</v>
      </c>
      <c r="B53" s="371" t="s">
        <v>138</v>
      </c>
      <c r="C53" s="343">
        <v>-1356652115.29</v>
      </c>
      <c r="D53" s="343">
        <v>-343153974.08999997</v>
      </c>
      <c r="E53" s="343">
        <v>-1699806089.3800001</v>
      </c>
    </row>
    <row r="54" spans="1:5" x14ac:dyDescent="0.25">
      <c r="A54" s="371" t="s">
        <v>139</v>
      </c>
      <c r="B54" s="371" t="s">
        <v>140</v>
      </c>
      <c r="C54" s="343">
        <v>-668477446.57000005</v>
      </c>
      <c r="D54" s="343">
        <v>-178756662.59999999</v>
      </c>
      <c r="E54" s="343">
        <v>-847234109.16999996</v>
      </c>
    </row>
    <row r="55" spans="1:5" x14ac:dyDescent="0.25">
      <c r="A55" s="371" t="s">
        <v>141</v>
      </c>
      <c r="B55" s="371" t="s">
        <v>142</v>
      </c>
      <c r="C55" s="343">
        <v>-45004187.969999999</v>
      </c>
      <c r="D55" s="343">
        <v>-7033393.0499999998</v>
      </c>
      <c r="E55" s="343">
        <v>-52037581.020000003</v>
      </c>
    </row>
    <row r="56" spans="1:5" x14ac:dyDescent="0.25">
      <c r="A56" s="372" t="s">
        <v>143</v>
      </c>
      <c r="B56" s="373"/>
      <c r="C56" s="350">
        <f>SUM(C52:C55)</f>
        <v>-2719505737.9400001</v>
      </c>
      <c r="D56" s="350">
        <f>SUM(D52:D55)</f>
        <v>-674908592.02999997</v>
      </c>
      <c r="E56" s="350">
        <f>SUM(E52:E55)</f>
        <v>-3394414329.9700003</v>
      </c>
    </row>
    <row r="58" spans="1:5" x14ac:dyDescent="0.25">
      <c r="A58" s="371" t="s">
        <v>351</v>
      </c>
      <c r="B58" s="371" t="s">
        <v>352</v>
      </c>
      <c r="C58" s="343">
        <v>-73420101.799999997</v>
      </c>
      <c r="D58" s="343">
        <v>-103317.99</v>
      </c>
      <c r="E58" s="343">
        <v>-73523419.790000007</v>
      </c>
    </row>
    <row r="59" spans="1:5" x14ac:dyDescent="0.25">
      <c r="A59" s="371" t="s">
        <v>353</v>
      </c>
      <c r="B59" s="371" t="s">
        <v>354</v>
      </c>
      <c r="C59" s="343">
        <v>-540.66</v>
      </c>
      <c r="D59" s="343">
        <v>0</v>
      </c>
      <c r="E59" s="343">
        <v>-540.66</v>
      </c>
    </row>
    <row r="60" spans="1:5" x14ac:dyDescent="0.25">
      <c r="C60" s="343">
        <f>SUM(C58:C59)</f>
        <v>-73420642.459999993</v>
      </c>
      <c r="D60" s="343">
        <f>SUM(D58:D59)</f>
        <v>-103317.99</v>
      </c>
      <c r="E60" s="343">
        <f>SUM(E58:E59)</f>
        <v>-73523960.450000003</v>
      </c>
    </row>
    <row r="62" spans="1:5" x14ac:dyDescent="0.25">
      <c r="A62" s="372" t="s">
        <v>144</v>
      </c>
      <c r="B62" s="372" t="s">
        <v>39</v>
      </c>
      <c r="C62" s="350">
        <v>0</v>
      </c>
      <c r="D62" s="350">
        <v>0</v>
      </c>
      <c r="E62" s="350">
        <v>0</v>
      </c>
    </row>
    <row r="63" spans="1:5" x14ac:dyDescent="0.25">
      <c r="A63" s="371" t="s">
        <v>145</v>
      </c>
    </row>
    <row r="66" spans="1:5" x14ac:dyDescent="0.25">
      <c r="A66" s="371" t="s">
        <v>146</v>
      </c>
      <c r="B66" s="371" t="s">
        <v>80</v>
      </c>
      <c r="C66" s="343">
        <v>0</v>
      </c>
      <c r="D66" s="343">
        <v>0</v>
      </c>
      <c r="E66" s="343">
        <v>0</v>
      </c>
    </row>
    <row r="67" spans="1:5" x14ac:dyDescent="0.25">
      <c r="A67" s="371" t="s">
        <v>147</v>
      </c>
      <c r="B67" s="371" t="s">
        <v>81</v>
      </c>
      <c r="C67" s="343">
        <v>0</v>
      </c>
      <c r="D67" s="343">
        <v>0</v>
      </c>
      <c r="E67" s="343">
        <v>0</v>
      </c>
    </row>
    <row r="68" spans="1:5" x14ac:dyDescent="0.25">
      <c r="A68" s="371" t="s">
        <v>148</v>
      </c>
      <c r="B68" s="371" t="s">
        <v>82</v>
      </c>
      <c r="C68" s="343">
        <v>0</v>
      </c>
      <c r="D68" s="343">
        <v>0</v>
      </c>
      <c r="E68" s="343">
        <v>0</v>
      </c>
    </row>
    <row r="69" spans="1:5" x14ac:dyDescent="0.25">
      <c r="A69" s="371" t="s">
        <v>149</v>
      </c>
      <c r="B69" s="371" t="s">
        <v>83</v>
      </c>
      <c r="C69" s="343">
        <v>0</v>
      </c>
      <c r="D69" s="343">
        <v>0</v>
      </c>
      <c r="E69" s="343">
        <v>0</v>
      </c>
    </row>
    <row r="70" spans="1:5" x14ac:dyDescent="0.25">
      <c r="A70" s="372" t="s">
        <v>150</v>
      </c>
      <c r="B70" s="373"/>
      <c r="C70" s="350">
        <f>SUM(C66:C69)</f>
        <v>0</v>
      </c>
      <c r="D70" s="350">
        <f>SUM(D66:D69)</f>
        <v>0</v>
      </c>
      <c r="E70" s="350">
        <f>SUM(E66:E69)</f>
        <v>0</v>
      </c>
    </row>
    <row r="72" spans="1:5" x14ac:dyDescent="0.25">
      <c r="A72" s="371" t="s">
        <v>151</v>
      </c>
      <c r="B72" s="371" t="s">
        <v>40</v>
      </c>
      <c r="C72" s="343">
        <v>-22822995.640000001</v>
      </c>
      <c r="D72" s="343">
        <v>-6214402.7599999998</v>
      </c>
      <c r="E72" s="343">
        <v>-29037398.399999999</v>
      </c>
    </row>
    <row r="73" spans="1:5" x14ac:dyDescent="0.25">
      <c r="A73" s="371" t="s">
        <v>152</v>
      </c>
      <c r="B73" s="371" t="s">
        <v>41</v>
      </c>
      <c r="C73" s="343">
        <v>-5166849.83</v>
      </c>
      <c r="D73" s="343">
        <v>-1289456.67</v>
      </c>
      <c r="E73" s="343">
        <v>-6456306.5</v>
      </c>
    </row>
    <row r="74" spans="1:5" x14ac:dyDescent="0.25">
      <c r="A74" s="371" t="s">
        <v>153</v>
      </c>
      <c r="B74" s="371" t="s">
        <v>42</v>
      </c>
      <c r="C74" s="343">
        <v>-1861831.04</v>
      </c>
      <c r="D74" s="343">
        <v>-537063.9</v>
      </c>
      <c r="E74" s="343">
        <v>-2398894.94</v>
      </c>
    </row>
    <row r="75" spans="1:5" x14ac:dyDescent="0.25">
      <c r="A75" s="371" t="s">
        <v>154</v>
      </c>
      <c r="B75" s="371" t="s">
        <v>43</v>
      </c>
      <c r="C75" s="343">
        <v>-4180236.05</v>
      </c>
      <c r="D75" s="343">
        <v>-1055573.18</v>
      </c>
      <c r="E75" s="343">
        <v>-5235809.2300000004</v>
      </c>
    </row>
    <row r="76" spans="1:5" x14ac:dyDescent="0.25">
      <c r="A76" s="372" t="s">
        <v>155</v>
      </c>
      <c r="B76" s="373"/>
      <c r="C76" s="350">
        <f>SUM(C72:C75)</f>
        <v>-34031912.559999995</v>
      </c>
      <c r="D76" s="350">
        <f>SUM(D72:D75)</f>
        <v>-9096496.5099999998</v>
      </c>
      <c r="E76" s="350">
        <f>SUM(E72:E75)</f>
        <v>-43128409.069999993</v>
      </c>
    </row>
    <row r="78" spans="1:5" x14ac:dyDescent="0.25">
      <c r="A78" s="371" t="s">
        <v>156</v>
      </c>
      <c r="B78" s="371" t="s">
        <v>157</v>
      </c>
      <c r="C78" s="343">
        <v>2254911.46</v>
      </c>
      <c r="D78" s="343">
        <v>778.94</v>
      </c>
      <c r="E78" s="343">
        <v>2255690.4</v>
      </c>
    </row>
    <row r="79" spans="1:5" x14ac:dyDescent="0.25">
      <c r="A79" s="371" t="s">
        <v>158</v>
      </c>
      <c r="B79" s="371" t="s">
        <v>159</v>
      </c>
      <c r="C79" s="343">
        <v>3860694.93</v>
      </c>
      <c r="D79" s="343">
        <v>1264820.8700000001</v>
      </c>
      <c r="E79" s="343">
        <v>5125515.8</v>
      </c>
    </row>
    <row r="80" spans="1:5" x14ac:dyDescent="0.25">
      <c r="A80" s="371" t="s">
        <v>160</v>
      </c>
      <c r="B80" s="371" t="s">
        <v>161</v>
      </c>
      <c r="C80" s="343">
        <v>142828.41</v>
      </c>
      <c r="D80" s="343">
        <v>81904.23</v>
      </c>
      <c r="E80" s="343">
        <v>224732.64</v>
      </c>
    </row>
    <row r="81" spans="1:5" x14ac:dyDescent="0.25">
      <c r="A81" s="371" t="s">
        <v>162</v>
      </c>
      <c r="B81" s="371" t="s">
        <v>163</v>
      </c>
      <c r="C81" s="343">
        <v>2807421.12</v>
      </c>
      <c r="D81" s="343">
        <v>813164.55</v>
      </c>
      <c r="E81" s="343">
        <v>3620585.67</v>
      </c>
    </row>
    <row r="82" spans="1:5" x14ac:dyDescent="0.25">
      <c r="A82" s="372" t="s">
        <v>164</v>
      </c>
      <c r="B82" s="373"/>
      <c r="C82" s="350">
        <f>SUM(C78:C81)</f>
        <v>9065855.9200000018</v>
      </c>
      <c r="D82" s="350">
        <f>SUM(D78:D81)</f>
        <v>2160668.59</v>
      </c>
      <c r="E82" s="350">
        <f>SUM(E78:E81)</f>
        <v>11226524.509999998</v>
      </c>
    </row>
    <row r="84" spans="1:5" x14ac:dyDescent="0.25">
      <c r="A84" s="372" t="s">
        <v>31</v>
      </c>
      <c r="B84" s="373"/>
      <c r="C84" s="350">
        <f>C14+C20+C26+C32+C44+C56+C62+C70+C76+C82+C50+C38+C60</f>
        <v>153213395.34999937</v>
      </c>
      <c r="D84" s="350">
        <f>D14+D20+D26+D32+D44+D56+D62+D70+D76+D82+D50+D38+D60</f>
        <v>166574305.31000015</v>
      </c>
      <c r="E84" s="350">
        <f>E14+E20+E26+E32+E44+E56+E62+E70+E76+E82+E50+E38+E60</f>
        <v>319787700.65999961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74" activePane="bottomLeft" state="frozenSplit"/>
      <selection activeCell="D78" sqref="D78"/>
      <selection pane="bottomLeft" activeCell="H80" sqref="H80"/>
    </sheetView>
  </sheetViews>
  <sheetFormatPr defaultColWidth="9.109375" defaultRowHeight="13.2" x14ac:dyDescent="0.25"/>
  <cols>
    <col min="1" max="1" width="30.6640625" style="428" customWidth="1"/>
    <col min="2" max="2" width="33.6640625" style="428" customWidth="1"/>
    <col min="3" max="5" width="22.6640625" style="439" customWidth="1"/>
    <col min="6" max="16384" width="9.109375" style="428"/>
  </cols>
  <sheetData>
    <row r="1" spans="1:5" x14ac:dyDescent="0.25">
      <c r="C1" s="429" t="s">
        <v>53</v>
      </c>
      <c r="D1" s="430"/>
      <c r="E1" s="430"/>
    </row>
    <row r="2" spans="1:5" x14ac:dyDescent="0.25">
      <c r="C2" s="431" t="s">
        <v>86</v>
      </c>
      <c r="D2" s="432"/>
      <c r="E2" s="432"/>
    </row>
    <row r="3" spans="1:5" x14ac:dyDescent="0.25">
      <c r="C3" s="429" t="s">
        <v>345</v>
      </c>
      <c r="D3" s="430"/>
      <c r="E3" s="430"/>
    </row>
    <row r="4" spans="1:5" x14ac:dyDescent="0.25">
      <c r="C4" s="429" t="s">
        <v>88</v>
      </c>
      <c r="D4" s="430"/>
      <c r="E4" s="430"/>
    </row>
    <row r="5" spans="1:5" x14ac:dyDescent="0.25">
      <c r="C5" s="433" t="s">
        <v>358</v>
      </c>
      <c r="D5" s="434"/>
      <c r="E5" s="434"/>
    </row>
    <row r="7" spans="1:5" x14ac:dyDescent="0.25">
      <c r="B7" s="435" t="s">
        <v>30</v>
      </c>
      <c r="C7" s="436" t="s">
        <v>90</v>
      </c>
      <c r="D7" s="436" t="s">
        <v>167</v>
      </c>
      <c r="E7" s="436" t="s">
        <v>92</v>
      </c>
    </row>
    <row r="9" spans="1:5" x14ac:dyDescent="0.25">
      <c r="A9" s="437" t="s">
        <v>93</v>
      </c>
      <c r="B9" s="437" t="s">
        <v>34</v>
      </c>
      <c r="C9" s="438">
        <v>557598059.19000006</v>
      </c>
      <c r="D9" s="438">
        <v>205670426.18000001</v>
      </c>
      <c r="E9" s="438">
        <v>763268485.37</v>
      </c>
    </row>
    <row r="10" spans="1:5" x14ac:dyDescent="0.25">
      <c r="A10" s="437" t="s">
        <v>94</v>
      </c>
      <c r="B10" s="437" t="s">
        <v>35</v>
      </c>
      <c r="C10" s="439">
        <v>1073725587.36</v>
      </c>
      <c r="D10" s="439">
        <v>404745565.87</v>
      </c>
      <c r="E10" s="439">
        <v>1478471153.23</v>
      </c>
    </row>
    <row r="11" spans="1:5" x14ac:dyDescent="0.25">
      <c r="A11" s="437" t="s">
        <v>95</v>
      </c>
      <c r="B11" s="437" t="s">
        <v>36</v>
      </c>
      <c r="C11" s="439">
        <v>530609742.12</v>
      </c>
      <c r="D11" s="439">
        <v>221702741.27000001</v>
      </c>
      <c r="E11" s="439">
        <v>752312483.38999999</v>
      </c>
    </row>
    <row r="12" spans="1:5" x14ac:dyDescent="0.25">
      <c r="A12" s="437" t="s">
        <v>96</v>
      </c>
      <c r="B12" s="437" t="s">
        <v>37</v>
      </c>
      <c r="C12" s="439">
        <v>21725048.170000002</v>
      </c>
      <c r="D12" s="439">
        <v>8592181.6300000008</v>
      </c>
      <c r="E12" s="439">
        <v>30317229.800000001</v>
      </c>
    </row>
    <row r="13" spans="1:5" x14ac:dyDescent="0.25">
      <c r="A13" s="437" t="s">
        <v>97</v>
      </c>
      <c r="B13" s="437" t="s">
        <v>38</v>
      </c>
      <c r="C13" s="439">
        <v>0</v>
      </c>
      <c r="D13" s="439">
        <v>0</v>
      </c>
      <c r="E13" s="439">
        <v>0</v>
      </c>
    </row>
    <row r="14" spans="1:5" x14ac:dyDescent="0.25">
      <c r="A14" s="440" t="s">
        <v>98</v>
      </c>
      <c r="B14" s="441"/>
      <c r="C14" s="442">
        <f>SUM(C9:C13)</f>
        <v>2183658436.8400002</v>
      </c>
      <c r="D14" s="442">
        <f>SUM(D9:D13)</f>
        <v>840710914.94999993</v>
      </c>
      <c r="E14" s="442">
        <f>SUM(E9:E13)</f>
        <v>3024369351.79</v>
      </c>
    </row>
    <row r="16" spans="1:5" x14ac:dyDescent="0.25">
      <c r="A16" s="437" t="s">
        <v>99</v>
      </c>
      <c r="B16" s="437" t="s">
        <v>100</v>
      </c>
      <c r="C16" s="439">
        <v>269339.76</v>
      </c>
      <c r="D16" s="439">
        <v>171295.51</v>
      </c>
      <c r="E16" s="439">
        <v>440635.27</v>
      </c>
    </row>
    <row r="17" spans="1:5" x14ac:dyDescent="0.25">
      <c r="A17" s="437" t="s">
        <v>101</v>
      </c>
      <c r="B17" s="437" t="s">
        <v>102</v>
      </c>
      <c r="C17" s="439">
        <v>518135.01</v>
      </c>
      <c r="D17" s="439">
        <v>337098.64</v>
      </c>
      <c r="E17" s="439">
        <v>855233.65</v>
      </c>
    </row>
    <row r="18" spans="1:5" x14ac:dyDescent="0.25">
      <c r="A18" s="437" t="s">
        <v>103</v>
      </c>
      <c r="B18" s="437" t="s">
        <v>104</v>
      </c>
      <c r="C18" s="439">
        <v>443125.36</v>
      </c>
      <c r="D18" s="439">
        <v>244847.7</v>
      </c>
      <c r="E18" s="439">
        <v>687973.06</v>
      </c>
    </row>
    <row r="19" spans="1:5" x14ac:dyDescent="0.25">
      <c r="A19" s="437" t="s">
        <v>105</v>
      </c>
      <c r="B19" s="437" t="s">
        <v>106</v>
      </c>
      <c r="C19" s="439">
        <v>9902.0300000000007</v>
      </c>
      <c r="D19" s="439">
        <v>6984.44</v>
      </c>
      <c r="E19" s="439">
        <v>16886.47</v>
      </c>
    </row>
    <row r="20" spans="1:5" x14ac:dyDescent="0.25">
      <c r="A20" s="440" t="s">
        <v>107</v>
      </c>
      <c r="B20" s="441"/>
      <c r="C20" s="442">
        <f>SUM(C16:C19)</f>
        <v>1240502.1599999999</v>
      </c>
      <c r="D20" s="442">
        <f>SUM(D16:D19)</f>
        <v>760226.29</v>
      </c>
      <c r="E20" s="442">
        <f>SUM(E16:E19)</f>
        <v>2000728.45</v>
      </c>
    </row>
    <row r="22" spans="1:5" x14ac:dyDescent="0.25">
      <c r="A22" s="437" t="s">
        <v>108</v>
      </c>
      <c r="B22" s="437" t="s">
        <v>109</v>
      </c>
      <c r="C22" s="439">
        <v>-277445.71999999997</v>
      </c>
      <c r="D22" s="439">
        <v>60307.85</v>
      </c>
      <c r="E22" s="439">
        <v>-217137.87</v>
      </c>
    </row>
    <row r="23" spans="1:5" x14ac:dyDescent="0.25">
      <c r="A23" s="437" t="s">
        <v>110</v>
      </c>
      <c r="B23" s="437" t="s">
        <v>111</v>
      </c>
      <c r="C23" s="439">
        <v>-534259.5</v>
      </c>
      <c r="D23" s="439">
        <v>118643.28</v>
      </c>
      <c r="E23" s="439">
        <v>-415616.22</v>
      </c>
    </row>
    <row r="24" spans="1:5" x14ac:dyDescent="0.25">
      <c r="A24" s="437" t="s">
        <v>112</v>
      </c>
      <c r="B24" s="437" t="s">
        <v>113</v>
      </c>
      <c r="C24" s="439">
        <v>-263437.83</v>
      </c>
      <c r="D24" s="439">
        <v>65091.11</v>
      </c>
      <c r="E24" s="439">
        <v>-198346.72</v>
      </c>
    </row>
    <row r="25" spans="1:5" x14ac:dyDescent="0.25">
      <c r="A25" s="437" t="s">
        <v>114</v>
      </c>
      <c r="B25" s="437" t="s">
        <v>115</v>
      </c>
      <c r="C25" s="439">
        <v>-10750.41</v>
      </c>
      <c r="D25" s="439">
        <v>2514.92</v>
      </c>
      <c r="E25" s="439">
        <v>-8235.49</v>
      </c>
    </row>
    <row r="26" spans="1:5" x14ac:dyDescent="0.25">
      <c r="A26" s="440" t="s">
        <v>116</v>
      </c>
      <c r="B26" s="441"/>
      <c r="C26" s="442">
        <f>SUM(C22:C25)</f>
        <v>-1085893.46</v>
      </c>
      <c r="D26" s="442">
        <f>SUM(D22:D25)</f>
        <v>246557.16</v>
      </c>
      <c r="E26" s="442">
        <f>SUM(E22:E25)</f>
        <v>-839336.29999999993</v>
      </c>
    </row>
    <row r="28" spans="1:5" x14ac:dyDescent="0.25">
      <c r="A28" s="437" t="s">
        <v>117</v>
      </c>
      <c r="B28" s="437" t="s">
        <v>118</v>
      </c>
      <c r="C28" s="439">
        <v>519.9</v>
      </c>
      <c r="D28" s="439">
        <v>0</v>
      </c>
      <c r="E28" s="439">
        <v>519.9</v>
      </c>
    </row>
    <row r="29" spans="1:5" x14ac:dyDescent="0.25">
      <c r="A29" s="437" t="s">
        <v>119</v>
      </c>
      <c r="B29" s="437" t="s">
        <v>120</v>
      </c>
      <c r="C29" s="439">
        <v>1012</v>
      </c>
      <c r="D29" s="439">
        <v>0</v>
      </c>
      <c r="E29" s="439">
        <v>1012</v>
      </c>
    </row>
    <row r="30" spans="1:5" x14ac:dyDescent="0.25">
      <c r="A30" s="437" t="s">
        <v>121</v>
      </c>
      <c r="B30" s="437" t="s">
        <v>122</v>
      </c>
      <c r="C30" s="439">
        <v>446</v>
      </c>
      <c r="D30" s="439">
        <v>0</v>
      </c>
      <c r="E30" s="439">
        <v>446</v>
      </c>
    </row>
    <row r="31" spans="1:5" x14ac:dyDescent="0.25">
      <c r="A31" s="437" t="s">
        <v>123</v>
      </c>
      <c r="B31" s="437" t="s">
        <v>124</v>
      </c>
      <c r="C31" s="439">
        <v>22.1</v>
      </c>
      <c r="D31" s="439">
        <v>0</v>
      </c>
      <c r="E31" s="439">
        <v>22.1</v>
      </c>
    </row>
    <row r="32" spans="1:5" x14ac:dyDescent="0.25">
      <c r="A32" s="440" t="s">
        <v>125</v>
      </c>
      <c r="B32" s="441"/>
      <c r="C32" s="442">
        <f>SUM(C28:C31)</f>
        <v>2000</v>
      </c>
      <c r="D32" s="442">
        <f>SUM(D28:D31)</f>
        <v>0</v>
      </c>
      <c r="E32" s="442">
        <f>SUM(E28:E31)</f>
        <v>2000</v>
      </c>
    </row>
    <row r="34" spans="1:5" x14ac:dyDescent="0.25">
      <c r="A34" s="437" t="s">
        <v>317</v>
      </c>
      <c r="B34" s="437" t="s">
        <v>318</v>
      </c>
      <c r="C34" s="439">
        <v>0</v>
      </c>
      <c r="D34" s="439">
        <v>0</v>
      </c>
      <c r="E34" s="439">
        <v>0</v>
      </c>
    </row>
    <row r="35" spans="1:5" x14ac:dyDescent="0.25">
      <c r="A35" s="437" t="s">
        <v>319</v>
      </c>
      <c r="B35" s="437" t="s">
        <v>320</v>
      </c>
      <c r="C35" s="439">
        <v>0</v>
      </c>
      <c r="D35" s="439">
        <v>0</v>
      </c>
      <c r="E35" s="439">
        <v>0</v>
      </c>
    </row>
    <row r="36" spans="1:5" x14ac:dyDescent="0.25">
      <c r="A36" s="437" t="s">
        <v>321</v>
      </c>
      <c r="B36" s="437" t="s">
        <v>322</v>
      </c>
      <c r="C36" s="439">
        <v>0</v>
      </c>
      <c r="D36" s="439">
        <v>0</v>
      </c>
      <c r="E36" s="439">
        <v>0</v>
      </c>
    </row>
    <row r="37" spans="1:5" x14ac:dyDescent="0.25">
      <c r="A37" s="437" t="s">
        <v>323</v>
      </c>
      <c r="B37" s="437" t="s">
        <v>324</v>
      </c>
      <c r="C37" s="439">
        <v>0</v>
      </c>
      <c r="D37" s="439">
        <v>0</v>
      </c>
      <c r="E37" s="439">
        <v>0</v>
      </c>
    </row>
    <row r="38" spans="1:5" x14ac:dyDescent="0.25">
      <c r="A38" s="440" t="s">
        <v>325</v>
      </c>
      <c r="B38" s="441"/>
      <c r="C38" s="442">
        <f>SUM(C34:C37)</f>
        <v>0</v>
      </c>
      <c r="D38" s="442">
        <f>SUM(D34:D37)</f>
        <v>0</v>
      </c>
      <c r="E38" s="442">
        <f>SUM(E34:E37)</f>
        <v>0</v>
      </c>
    </row>
    <row r="40" spans="1:5" x14ac:dyDescent="0.25">
      <c r="A40" s="437" t="s">
        <v>126</v>
      </c>
      <c r="B40" s="437" t="s">
        <v>347</v>
      </c>
      <c r="C40" s="439">
        <v>-6561980.3700000001</v>
      </c>
      <c r="D40" s="439">
        <v>35566.51</v>
      </c>
      <c r="E40" s="439">
        <v>-6526413.8600000003</v>
      </c>
    </row>
    <row r="41" spans="1:5" x14ac:dyDescent="0.25">
      <c r="A41" s="437" t="s">
        <v>128</v>
      </c>
      <c r="B41" s="437" t="s">
        <v>348</v>
      </c>
      <c r="C41" s="439">
        <v>-12684262.99</v>
      </c>
      <c r="D41" s="439">
        <v>98956.47</v>
      </c>
      <c r="E41" s="439">
        <v>-12585306.52</v>
      </c>
    </row>
    <row r="42" spans="1:5" x14ac:dyDescent="0.25">
      <c r="A42" s="437" t="s">
        <v>130</v>
      </c>
      <c r="B42" s="437" t="s">
        <v>349</v>
      </c>
      <c r="C42" s="439">
        <v>-6063372.3099999996</v>
      </c>
      <c r="D42" s="439">
        <v>36320.42</v>
      </c>
      <c r="E42" s="439">
        <v>-6027051.8899999997</v>
      </c>
    </row>
    <row r="43" spans="1:5" x14ac:dyDescent="0.25">
      <c r="A43" s="437" t="s">
        <v>132</v>
      </c>
      <c r="B43" s="437" t="s">
        <v>350</v>
      </c>
      <c r="C43" s="439">
        <v>-253883.33</v>
      </c>
      <c r="D43" s="439">
        <v>1420.05</v>
      </c>
      <c r="E43" s="439">
        <v>-252463.28</v>
      </c>
    </row>
    <row r="44" spans="1:5" x14ac:dyDescent="0.25">
      <c r="A44" s="440" t="s">
        <v>134</v>
      </c>
      <c r="B44" s="441"/>
      <c r="C44" s="442">
        <f>SUM(C40:C43)</f>
        <v>-25563498.999999996</v>
      </c>
      <c r="D44" s="442">
        <f>SUM(D40:D43)</f>
        <v>172263.45</v>
      </c>
      <c r="E44" s="442">
        <f>SUM(E40:E43)</f>
        <v>-25391235.550000001</v>
      </c>
    </row>
    <row r="46" spans="1:5" x14ac:dyDescent="0.25">
      <c r="A46" s="437" t="s">
        <v>326</v>
      </c>
      <c r="B46" s="437" t="s">
        <v>327</v>
      </c>
      <c r="C46" s="439">
        <v>0</v>
      </c>
      <c r="D46" s="439">
        <v>0</v>
      </c>
      <c r="E46" s="439">
        <v>0</v>
      </c>
    </row>
    <row r="47" spans="1:5" x14ac:dyDescent="0.25">
      <c r="A47" s="437" t="s">
        <v>328</v>
      </c>
      <c r="B47" s="437" t="s">
        <v>329</v>
      </c>
      <c r="C47" s="439">
        <v>10111912</v>
      </c>
      <c r="D47" s="439">
        <v>-12670014</v>
      </c>
      <c r="E47" s="439">
        <v>-2558102</v>
      </c>
    </row>
    <row r="48" spans="1:5" x14ac:dyDescent="0.25">
      <c r="A48" s="437" t="s">
        <v>330</v>
      </c>
      <c r="B48" s="437" t="s">
        <v>331</v>
      </c>
      <c r="C48" s="439">
        <v>-18781854.5</v>
      </c>
      <c r="D48" s="439">
        <v>-7695719.5</v>
      </c>
      <c r="E48" s="439">
        <v>-26477574</v>
      </c>
    </row>
    <row r="49" spans="1:5" x14ac:dyDescent="0.25">
      <c r="A49" s="437" t="s">
        <v>332</v>
      </c>
      <c r="B49" s="437" t="s">
        <v>333</v>
      </c>
      <c r="C49" s="439">
        <v>0</v>
      </c>
      <c r="D49" s="439">
        <v>0</v>
      </c>
      <c r="E49" s="439">
        <v>0</v>
      </c>
    </row>
    <row r="50" spans="1:5" x14ac:dyDescent="0.25">
      <c r="A50" s="440" t="s">
        <v>334</v>
      </c>
      <c r="B50" s="441"/>
      <c r="C50" s="442">
        <f>SUM(C46:C49)</f>
        <v>-8669942.5</v>
      </c>
      <c r="D50" s="442">
        <f>SUM(D46:D49)</f>
        <v>-20365733.5</v>
      </c>
      <c r="E50" s="442">
        <f>SUM(E46:E49)</f>
        <v>-29035676</v>
      </c>
    </row>
    <row r="52" spans="1:5" x14ac:dyDescent="0.25">
      <c r="A52" s="437" t="s">
        <v>135</v>
      </c>
      <c r="B52" s="437" t="s">
        <v>136</v>
      </c>
      <c r="C52" s="439">
        <v>-492891925.07999998</v>
      </c>
      <c r="D52" s="439">
        <v>-156480063.03</v>
      </c>
      <c r="E52" s="439">
        <v>-649371988.11000001</v>
      </c>
    </row>
    <row r="53" spans="1:5" x14ac:dyDescent="0.25">
      <c r="A53" s="437" t="s">
        <v>137</v>
      </c>
      <c r="B53" s="437" t="s">
        <v>138</v>
      </c>
      <c r="C53" s="439">
        <v>-1004410128.89</v>
      </c>
      <c r="D53" s="439">
        <v>-352241986.39999998</v>
      </c>
      <c r="E53" s="439">
        <v>-1356652115.29</v>
      </c>
    </row>
    <row r="54" spans="1:5" x14ac:dyDescent="0.25">
      <c r="A54" s="437" t="s">
        <v>139</v>
      </c>
      <c r="B54" s="437" t="s">
        <v>140</v>
      </c>
      <c r="C54" s="439">
        <v>-493085740.86000001</v>
      </c>
      <c r="D54" s="439">
        <v>-175391705.71000001</v>
      </c>
      <c r="E54" s="439">
        <v>-668477446.57000005</v>
      </c>
    </row>
    <row r="55" spans="1:5" x14ac:dyDescent="0.25">
      <c r="A55" s="437" t="s">
        <v>141</v>
      </c>
      <c r="B55" s="437" t="s">
        <v>142</v>
      </c>
      <c r="C55" s="439">
        <v>-33946111</v>
      </c>
      <c r="D55" s="439">
        <v>-11058076.970000001</v>
      </c>
      <c r="E55" s="439">
        <v>-45004187.969999999</v>
      </c>
    </row>
    <row r="56" spans="1:5" x14ac:dyDescent="0.25">
      <c r="A56" s="440" t="s">
        <v>143</v>
      </c>
      <c r="B56" s="441"/>
      <c r="C56" s="442">
        <f>SUM(C52:C55)</f>
        <v>-2024333905.8299999</v>
      </c>
      <c r="D56" s="442">
        <f>SUM(D52:D55)</f>
        <v>-695171832.11000001</v>
      </c>
      <c r="E56" s="442">
        <f>SUM(E52:E55)</f>
        <v>-2719505737.9400001</v>
      </c>
    </row>
    <row r="58" spans="1:5" x14ac:dyDescent="0.25">
      <c r="A58" s="437" t="s">
        <v>351</v>
      </c>
      <c r="B58" s="437" t="s">
        <v>352</v>
      </c>
      <c r="C58" s="439">
        <v>-80324636.989999995</v>
      </c>
      <c r="D58" s="439">
        <v>6904535.1900000004</v>
      </c>
      <c r="E58" s="439">
        <v>-73420101.799999997</v>
      </c>
    </row>
    <row r="59" spans="1:5" x14ac:dyDescent="0.25">
      <c r="A59" s="437" t="s">
        <v>353</v>
      </c>
      <c r="B59" s="437" t="s">
        <v>354</v>
      </c>
      <c r="C59" s="439">
        <v>-540.66</v>
      </c>
      <c r="D59" s="439">
        <v>0</v>
      </c>
      <c r="E59" s="439">
        <v>-540.66</v>
      </c>
    </row>
    <row r="60" spans="1:5" x14ac:dyDescent="0.25">
      <c r="C60" s="439">
        <f>SUM(C58:C59)</f>
        <v>-80325177.649999991</v>
      </c>
      <c r="D60" s="439">
        <f>SUM(D58:D59)</f>
        <v>6904535.1900000004</v>
      </c>
      <c r="E60" s="439">
        <f>SUM(E58:E59)</f>
        <v>-73420642.459999993</v>
      </c>
    </row>
    <row r="62" spans="1:5" x14ac:dyDescent="0.25">
      <c r="A62" s="440" t="s">
        <v>144</v>
      </c>
      <c r="B62" s="440" t="s">
        <v>39</v>
      </c>
      <c r="C62" s="442">
        <v>0</v>
      </c>
      <c r="D62" s="442">
        <v>0</v>
      </c>
      <c r="E62" s="442">
        <v>0</v>
      </c>
    </row>
    <row r="63" spans="1:5" x14ac:dyDescent="0.25">
      <c r="A63" s="437" t="s">
        <v>145</v>
      </c>
    </row>
    <row r="66" spans="1:5" x14ac:dyDescent="0.25">
      <c r="A66" s="437" t="s">
        <v>146</v>
      </c>
      <c r="B66" s="437" t="s">
        <v>80</v>
      </c>
      <c r="C66" s="439">
        <v>0</v>
      </c>
      <c r="D66" s="439">
        <v>0</v>
      </c>
      <c r="E66" s="439">
        <v>0</v>
      </c>
    </row>
    <row r="67" spans="1:5" x14ac:dyDescent="0.25">
      <c r="A67" s="437" t="s">
        <v>147</v>
      </c>
      <c r="B67" s="437" t="s">
        <v>81</v>
      </c>
      <c r="C67" s="439">
        <v>0</v>
      </c>
      <c r="D67" s="439">
        <v>0</v>
      </c>
      <c r="E67" s="439">
        <v>0</v>
      </c>
    </row>
    <row r="68" spans="1:5" x14ac:dyDescent="0.25">
      <c r="A68" s="437" t="s">
        <v>148</v>
      </c>
      <c r="B68" s="437" t="s">
        <v>82</v>
      </c>
      <c r="C68" s="439">
        <v>0</v>
      </c>
      <c r="D68" s="439">
        <v>0</v>
      </c>
      <c r="E68" s="439">
        <v>0</v>
      </c>
    </row>
    <row r="69" spans="1:5" x14ac:dyDescent="0.25">
      <c r="A69" s="437" t="s">
        <v>149</v>
      </c>
      <c r="B69" s="437" t="s">
        <v>83</v>
      </c>
      <c r="C69" s="439">
        <v>0</v>
      </c>
      <c r="D69" s="439">
        <v>0</v>
      </c>
      <c r="E69" s="439">
        <v>0</v>
      </c>
    </row>
    <row r="70" spans="1:5" x14ac:dyDescent="0.25">
      <c r="A70" s="440" t="s">
        <v>150</v>
      </c>
      <c r="B70" s="441"/>
      <c r="C70" s="442">
        <f>SUM(C66:C69)</f>
        <v>0</v>
      </c>
      <c r="D70" s="442">
        <f>SUM(D66:D69)</f>
        <v>0</v>
      </c>
      <c r="E70" s="442">
        <f>SUM(E66:E69)</f>
        <v>0</v>
      </c>
    </row>
    <row r="72" spans="1:5" x14ac:dyDescent="0.25">
      <c r="A72" s="437" t="s">
        <v>151</v>
      </c>
      <c r="B72" s="437" t="s">
        <v>40</v>
      </c>
      <c r="C72" s="439">
        <v>-17469923.710000001</v>
      </c>
      <c r="D72" s="439">
        <v>-5353071.93</v>
      </c>
      <c r="E72" s="439">
        <v>-22822995.640000001</v>
      </c>
    </row>
    <row r="73" spans="1:5" x14ac:dyDescent="0.25">
      <c r="A73" s="437" t="s">
        <v>152</v>
      </c>
      <c r="B73" s="437" t="s">
        <v>41</v>
      </c>
      <c r="C73" s="439">
        <v>-4055245.83</v>
      </c>
      <c r="D73" s="439">
        <v>-1111604</v>
      </c>
      <c r="E73" s="439">
        <v>-5166849.83</v>
      </c>
    </row>
    <row r="74" spans="1:5" x14ac:dyDescent="0.25">
      <c r="A74" s="437" t="s">
        <v>153</v>
      </c>
      <c r="B74" s="437" t="s">
        <v>42</v>
      </c>
      <c r="C74" s="439">
        <v>-1428524.93</v>
      </c>
      <c r="D74" s="439">
        <v>-433306.11</v>
      </c>
      <c r="E74" s="439">
        <v>-1861831.04</v>
      </c>
    </row>
    <row r="75" spans="1:5" x14ac:dyDescent="0.25">
      <c r="A75" s="437" t="s">
        <v>154</v>
      </c>
      <c r="B75" s="437" t="s">
        <v>43</v>
      </c>
      <c r="C75" s="439">
        <v>-3219645.12</v>
      </c>
      <c r="D75" s="439">
        <v>-960590.93</v>
      </c>
      <c r="E75" s="439">
        <v>-4180236.05</v>
      </c>
    </row>
    <row r="76" spans="1:5" x14ac:dyDescent="0.25">
      <c r="A76" s="440" t="s">
        <v>155</v>
      </c>
      <c r="B76" s="441"/>
      <c r="C76" s="442">
        <f>SUM(C72:C75)</f>
        <v>-26173339.59</v>
      </c>
      <c r="D76" s="442">
        <f>SUM(D72:D75)</f>
        <v>-7858572.9699999997</v>
      </c>
      <c r="E76" s="442">
        <f>SUM(E72:E75)</f>
        <v>-34031912.559999995</v>
      </c>
    </row>
    <row r="78" spans="1:5" x14ac:dyDescent="0.25">
      <c r="A78" s="437" t="s">
        <v>156</v>
      </c>
      <c r="B78" s="437" t="s">
        <v>157</v>
      </c>
      <c r="C78" s="439">
        <v>2243187.2599999998</v>
      </c>
      <c r="D78" s="439">
        <v>11724.2</v>
      </c>
      <c r="E78" s="439">
        <v>2254911.46</v>
      </c>
    </row>
    <row r="79" spans="1:5" x14ac:dyDescent="0.25">
      <c r="A79" s="437" t="s">
        <v>158</v>
      </c>
      <c r="B79" s="437" t="s">
        <v>159</v>
      </c>
      <c r="C79" s="439">
        <v>2554641.1</v>
      </c>
      <c r="D79" s="439">
        <v>1306053.83</v>
      </c>
      <c r="E79" s="439">
        <v>3860694.93</v>
      </c>
    </row>
    <row r="80" spans="1:5" x14ac:dyDescent="0.25">
      <c r="A80" s="437" t="s">
        <v>160</v>
      </c>
      <c r="B80" s="437" t="s">
        <v>161</v>
      </c>
      <c r="C80" s="439">
        <v>77203.12</v>
      </c>
      <c r="D80" s="439">
        <v>65625.289999999994</v>
      </c>
      <c r="E80" s="439">
        <v>142828.41</v>
      </c>
    </row>
    <row r="81" spans="1:5" x14ac:dyDescent="0.25">
      <c r="A81" s="437" t="s">
        <v>162</v>
      </c>
      <c r="B81" s="437" t="s">
        <v>163</v>
      </c>
      <c r="C81" s="439">
        <v>1886279</v>
      </c>
      <c r="D81" s="439">
        <v>921142.12</v>
      </c>
      <c r="E81" s="439">
        <v>2807421.12</v>
      </c>
    </row>
    <row r="82" spans="1:5" x14ac:dyDescent="0.25">
      <c r="A82" s="440" t="s">
        <v>164</v>
      </c>
      <c r="B82" s="441"/>
      <c r="C82" s="442">
        <f>SUM(C78:C81)</f>
        <v>6761310.4799999995</v>
      </c>
      <c r="D82" s="442">
        <f>SUM(D78:D81)</f>
        <v>2304545.44</v>
      </c>
      <c r="E82" s="442">
        <f>SUM(E78:E81)</f>
        <v>9065855.9200000018</v>
      </c>
    </row>
    <row r="84" spans="1:5" x14ac:dyDescent="0.25">
      <c r="A84" s="440" t="s">
        <v>31</v>
      </c>
      <c r="B84" s="441"/>
      <c r="C84" s="442">
        <f>C14+C20+C26+C32+C44+C56+C62+C70+C76+C82+C50+C38+C60</f>
        <v>25510491.450000048</v>
      </c>
      <c r="D84" s="442">
        <f>D14+D20+D26+D32+D44+D56+D62+D70+D76+D82+D50+D38+D60</f>
        <v>127702903.89999989</v>
      </c>
      <c r="E84" s="442">
        <f>E14+E20+E26+E32+E44+E56+E62+E70+E76+E82+E50+E38+E60</f>
        <v>153213395.34999937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70" zoomScaleNormal="100" zoomScaleSheetLayoutView="70" workbookViewId="0">
      <pane ySplit="8" topLeftCell="A28" activePane="bottomLeft" state="frozenSplit"/>
      <selection pane="bottomLeft" activeCell="C50" sqref="C50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5" width="22.6640625" style="343" customWidth="1"/>
    <col min="6" max="16384" width="9.109375" style="367"/>
  </cols>
  <sheetData>
    <row r="1" spans="1:5" x14ac:dyDescent="0.25">
      <c r="A1" s="366" t="s">
        <v>53</v>
      </c>
      <c r="B1" s="366"/>
      <c r="C1" s="338"/>
      <c r="D1" s="338"/>
      <c r="E1" s="338"/>
    </row>
    <row r="2" spans="1:5" x14ac:dyDescent="0.25">
      <c r="A2" s="368" t="s">
        <v>86</v>
      </c>
      <c r="B2" s="368"/>
      <c r="C2" s="340"/>
      <c r="D2" s="340"/>
      <c r="E2" s="340"/>
    </row>
    <row r="3" spans="1:5" x14ac:dyDescent="0.25">
      <c r="A3" s="366" t="s">
        <v>315</v>
      </c>
      <c r="B3" s="366"/>
      <c r="C3" s="338"/>
      <c r="D3" s="338"/>
      <c r="E3" s="338"/>
    </row>
    <row r="4" spans="1:5" x14ac:dyDescent="0.25">
      <c r="A4" s="366" t="s">
        <v>88</v>
      </c>
      <c r="B4" s="366"/>
      <c r="C4" s="338"/>
      <c r="D4" s="338"/>
      <c r="E4" s="338"/>
    </row>
    <row r="5" spans="1:5" x14ac:dyDescent="0.25">
      <c r="A5" s="369" t="s">
        <v>316</v>
      </c>
      <c r="B5" s="369"/>
      <c r="C5" s="342"/>
      <c r="D5" s="342"/>
      <c r="E5" s="342"/>
    </row>
    <row r="7" spans="1:5" x14ac:dyDescent="0.25">
      <c r="B7" s="370" t="s">
        <v>30</v>
      </c>
      <c r="C7" s="345" t="s">
        <v>90</v>
      </c>
      <c r="D7" s="345" t="s">
        <v>182</v>
      </c>
      <c r="E7" s="345" t="s">
        <v>92</v>
      </c>
    </row>
    <row r="9" spans="1:5" x14ac:dyDescent="0.25">
      <c r="A9" s="371" t="s">
        <v>93</v>
      </c>
      <c r="B9" s="371" t="s">
        <v>34</v>
      </c>
      <c r="C9" s="347">
        <v>1165194730.8199999</v>
      </c>
      <c r="D9" s="347">
        <v>191608844.83000001</v>
      </c>
      <c r="E9" s="347">
        <v>1356803575.6500001</v>
      </c>
    </row>
    <row r="10" spans="1:5" x14ac:dyDescent="0.25">
      <c r="A10" s="371" t="s">
        <v>94</v>
      </c>
      <c r="B10" s="371" t="s">
        <v>35</v>
      </c>
      <c r="C10" s="343">
        <v>2338905362.1799998</v>
      </c>
      <c r="D10" s="343">
        <v>375309403.39999998</v>
      </c>
      <c r="E10" s="343">
        <v>2714214765.5799999</v>
      </c>
    </row>
    <row r="11" spans="1:5" x14ac:dyDescent="0.25">
      <c r="A11" s="371" t="s">
        <v>95</v>
      </c>
      <c r="B11" s="371" t="s">
        <v>36</v>
      </c>
      <c r="C11" s="343">
        <v>677287567.63999999</v>
      </c>
      <c r="D11" s="343">
        <v>124361714.06</v>
      </c>
      <c r="E11" s="343">
        <v>801649281.70000005</v>
      </c>
    </row>
    <row r="12" spans="1:5" x14ac:dyDescent="0.25">
      <c r="A12" s="371" t="s">
        <v>96</v>
      </c>
      <c r="B12" s="371" t="s">
        <v>37</v>
      </c>
      <c r="C12" s="343">
        <v>41914424.390000001</v>
      </c>
      <c r="D12" s="343">
        <v>7594339.46</v>
      </c>
      <c r="E12" s="343">
        <v>49508763.850000001</v>
      </c>
    </row>
    <row r="13" spans="1:5" x14ac:dyDescent="0.25">
      <c r="A13" s="371" t="s">
        <v>97</v>
      </c>
      <c r="B13" s="371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72" t="s">
        <v>98</v>
      </c>
      <c r="B14" s="373"/>
      <c r="C14" s="350">
        <f>SUM(C9:C13)</f>
        <v>4223302085.0299997</v>
      </c>
      <c r="D14" s="350">
        <f>SUM(D9:D13)</f>
        <v>698874301.75</v>
      </c>
      <c r="E14" s="350">
        <f>SUM(E9:E13)</f>
        <v>4922176386.7800007</v>
      </c>
    </row>
    <row r="16" spans="1:5" x14ac:dyDescent="0.25">
      <c r="A16" s="371" t="s">
        <v>99</v>
      </c>
      <c r="B16" s="371" t="s">
        <v>100</v>
      </c>
      <c r="C16" s="343">
        <v>801703.66</v>
      </c>
      <c r="D16" s="343">
        <v>149708.98000000001</v>
      </c>
      <c r="E16" s="343">
        <v>951412.64</v>
      </c>
    </row>
    <row r="17" spans="1:5" x14ac:dyDescent="0.25">
      <c r="A17" s="371" t="s">
        <v>101</v>
      </c>
      <c r="B17" s="371" t="s">
        <v>102</v>
      </c>
      <c r="C17" s="343">
        <v>1604509.95</v>
      </c>
      <c r="D17" s="343">
        <v>292762.98</v>
      </c>
      <c r="E17" s="343">
        <v>1897272.93</v>
      </c>
    </row>
    <row r="18" spans="1:5" x14ac:dyDescent="0.25">
      <c r="A18" s="371" t="s">
        <v>103</v>
      </c>
      <c r="B18" s="371" t="s">
        <v>104</v>
      </c>
      <c r="C18" s="343">
        <v>466871.29</v>
      </c>
      <c r="D18" s="343">
        <v>97369.86</v>
      </c>
      <c r="E18" s="343">
        <v>564241.15</v>
      </c>
    </row>
    <row r="19" spans="1:5" x14ac:dyDescent="0.25">
      <c r="A19" s="371" t="s">
        <v>105</v>
      </c>
      <c r="B19" s="371" t="s">
        <v>106</v>
      </c>
      <c r="C19" s="343">
        <v>26101.040000000001</v>
      </c>
      <c r="D19" s="343">
        <v>5475.77</v>
      </c>
      <c r="E19" s="343">
        <v>31576.81</v>
      </c>
    </row>
    <row r="20" spans="1:5" x14ac:dyDescent="0.25">
      <c r="A20" s="372" t="s">
        <v>107</v>
      </c>
      <c r="B20" s="373"/>
      <c r="C20" s="350">
        <f>SUM(C16:C19)</f>
        <v>2899185.94</v>
      </c>
      <c r="D20" s="350">
        <f>SUM(D16:D19)</f>
        <v>545317.59</v>
      </c>
      <c r="E20" s="350">
        <f>SUM(E16:E19)</f>
        <v>3444503.53</v>
      </c>
    </row>
    <row r="22" spans="1:5" x14ac:dyDescent="0.25">
      <c r="A22" s="371" t="s">
        <v>108</v>
      </c>
      <c r="B22" s="371" t="s">
        <v>109</v>
      </c>
      <c r="C22" s="343">
        <v>507699.54</v>
      </c>
      <c r="D22" s="343">
        <v>94562.38</v>
      </c>
      <c r="E22" s="343">
        <v>602261.92000000004</v>
      </c>
    </row>
    <row r="23" spans="1:5" x14ac:dyDescent="0.25">
      <c r="A23" s="371" t="s">
        <v>110</v>
      </c>
      <c r="B23" s="371" t="s">
        <v>111</v>
      </c>
      <c r="C23" s="343">
        <v>1016627.36</v>
      </c>
      <c r="D23" s="343">
        <v>185362.98</v>
      </c>
      <c r="E23" s="343">
        <v>1201990.3400000001</v>
      </c>
    </row>
    <row r="24" spans="1:5" x14ac:dyDescent="0.25">
      <c r="A24" s="371" t="s">
        <v>112</v>
      </c>
      <c r="B24" s="371" t="s">
        <v>113</v>
      </c>
      <c r="C24" s="343">
        <v>294928.84999999998</v>
      </c>
      <c r="D24" s="343">
        <v>61431.05</v>
      </c>
      <c r="E24" s="343">
        <v>356359.9</v>
      </c>
    </row>
    <row r="25" spans="1:5" x14ac:dyDescent="0.25">
      <c r="A25" s="371" t="s">
        <v>114</v>
      </c>
      <c r="B25" s="371" t="s">
        <v>115</v>
      </c>
      <c r="C25" s="343">
        <v>17684.61</v>
      </c>
      <c r="D25" s="343">
        <v>3761.78</v>
      </c>
      <c r="E25" s="343">
        <v>21446.39</v>
      </c>
    </row>
    <row r="26" spans="1:5" x14ac:dyDescent="0.25">
      <c r="A26" s="372" t="s">
        <v>116</v>
      </c>
      <c r="B26" s="373"/>
      <c r="C26" s="350">
        <f>SUM(C22:C25)</f>
        <v>1836940.36</v>
      </c>
      <c r="D26" s="350">
        <f>SUM(D22:D25)</f>
        <v>345118.19</v>
      </c>
      <c r="E26" s="350">
        <f>SUM(E22:E25)</f>
        <v>2182058.5500000003</v>
      </c>
    </row>
    <row r="28" spans="1:5" x14ac:dyDescent="0.25">
      <c r="A28" s="371" t="s">
        <v>117</v>
      </c>
      <c r="B28" s="371" t="s">
        <v>118</v>
      </c>
      <c r="C28" s="343">
        <v>544.15</v>
      </c>
      <c r="D28" s="343">
        <v>274</v>
      </c>
      <c r="E28" s="343">
        <v>818.15</v>
      </c>
    </row>
    <row r="29" spans="1:5" x14ac:dyDescent="0.25">
      <c r="A29" s="371" t="s">
        <v>119</v>
      </c>
      <c r="B29" s="371" t="s">
        <v>120</v>
      </c>
      <c r="C29" s="343">
        <v>1108.46</v>
      </c>
      <c r="D29" s="343">
        <v>537.1</v>
      </c>
      <c r="E29" s="343">
        <v>1645.56</v>
      </c>
    </row>
    <row r="30" spans="1:5" x14ac:dyDescent="0.25">
      <c r="A30" s="371" t="s">
        <v>121</v>
      </c>
      <c r="B30" s="371" t="s">
        <v>122</v>
      </c>
      <c r="C30" s="343">
        <v>325.8</v>
      </c>
      <c r="D30" s="343">
        <v>178</v>
      </c>
      <c r="E30" s="343">
        <v>503.8</v>
      </c>
    </row>
    <row r="31" spans="1:5" x14ac:dyDescent="0.25">
      <c r="A31" s="371" t="s">
        <v>123</v>
      </c>
      <c r="B31" s="371" t="s">
        <v>124</v>
      </c>
      <c r="C31" s="343">
        <v>21.59</v>
      </c>
      <c r="D31" s="343">
        <v>10.9</v>
      </c>
      <c r="E31" s="343">
        <v>32.49</v>
      </c>
    </row>
    <row r="32" spans="1:5" x14ac:dyDescent="0.25">
      <c r="A32" s="372" t="s">
        <v>125</v>
      </c>
      <c r="B32" s="373"/>
      <c r="C32" s="350">
        <f>SUM(C28:C31)</f>
        <v>2000</v>
      </c>
      <c r="D32" s="350">
        <f>SUM(D28:D31)</f>
        <v>1000</v>
      </c>
      <c r="E32" s="350">
        <f>SUM(E28:E31)</f>
        <v>3000</v>
      </c>
    </row>
    <row r="34" spans="1:5" x14ac:dyDescent="0.25">
      <c r="A34" s="371" t="s">
        <v>317</v>
      </c>
      <c r="B34" s="371" t="s">
        <v>318</v>
      </c>
      <c r="C34" s="343">
        <v>0</v>
      </c>
      <c r="D34" s="343">
        <v>0</v>
      </c>
      <c r="E34" s="343">
        <v>0</v>
      </c>
    </row>
    <row r="35" spans="1:5" x14ac:dyDescent="0.25">
      <c r="A35" s="371" t="s">
        <v>319</v>
      </c>
      <c r="B35" s="371" t="s">
        <v>320</v>
      </c>
      <c r="C35" s="343">
        <v>0</v>
      </c>
      <c r="D35" s="343">
        <v>0</v>
      </c>
      <c r="E35" s="343">
        <v>0</v>
      </c>
    </row>
    <row r="36" spans="1:5" x14ac:dyDescent="0.25">
      <c r="A36" s="371" t="s">
        <v>321</v>
      </c>
      <c r="B36" s="371" t="s">
        <v>322</v>
      </c>
      <c r="C36" s="343">
        <v>0</v>
      </c>
      <c r="D36" s="343">
        <v>0</v>
      </c>
      <c r="E36" s="343">
        <v>0</v>
      </c>
    </row>
    <row r="37" spans="1:5" x14ac:dyDescent="0.25">
      <c r="A37" s="371" t="s">
        <v>323</v>
      </c>
      <c r="B37" s="371" t="s">
        <v>324</v>
      </c>
      <c r="C37" s="343">
        <v>0</v>
      </c>
      <c r="D37" s="343">
        <v>0</v>
      </c>
      <c r="E37" s="343">
        <v>0</v>
      </c>
    </row>
    <row r="38" spans="1:5" x14ac:dyDescent="0.25">
      <c r="A38" s="372" t="s">
        <v>325</v>
      </c>
      <c r="B38" s="373"/>
      <c r="C38" s="350">
        <f>SUM(C34:C37)</f>
        <v>0</v>
      </c>
      <c r="D38" s="350">
        <f>SUM(D34:D37)</f>
        <v>0</v>
      </c>
      <c r="E38" s="350">
        <f>SUM(E34:E37)</f>
        <v>0</v>
      </c>
    </row>
    <row r="40" spans="1:5" x14ac:dyDescent="0.25">
      <c r="A40" s="371" t="s">
        <v>126</v>
      </c>
      <c r="B40" s="371" t="s">
        <v>127</v>
      </c>
      <c r="C40" s="343">
        <v>-61235332.810000002</v>
      </c>
      <c r="D40" s="343">
        <v>2434652.02</v>
      </c>
      <c r="E40" s="343">
        <v>-58800680.789999999</v>
      </c>
    </row>
    <row r="41" spans="1:5" x14ac:dyDescent="0.25">
      <c r="A41" s="371" t="s">
        <v>128</v>
      </c>
      <c r="B41" s="371" t="s">
        <v>129</v>
      </c>
      <c r="C41" s="343">
        <v>-3804983.53</v>
      </c>
      <c r="D41" s="343">
        <v>254344.8</v>
      </c>
      <c r="E41" s="343">
        <v>-3550638.73</v>
      </c>
    </row>
    <row r="42" spans="1:5" x14ac:dyDescent="0.25">
      <c r="A42" s="371" t="s">
        <v>130</v>
      </c>
      <c r="B42" s="371" t="s">
        <v>131</v>
      </c>
      <c r="C42" s="343">
        <v>-1164305.08</v>
      </c>
      <c r="D42" s="343">
        <v>-4993.74</v>
      </c>
      <c r="E42" s="343">
        <v>-1169298.82</v>
      </c>
    </row>
    <row r="43" spans="1:5" x14ac:dyDescent="0.25">
      <c r="A43" s="371" t="s">
        <v>132</v>
      </c>
      <c r="B43" s="371" t="s">
        <v>133</v>
      </c>
      <c r="C43" s="343">
        <v>-96640.19</v>
      </c>
      <c r="D43" s="343">
        <v>2348.19</v>
      </c>
      <c r="E43" s="343">
        <v>-94292</v>
      </c>
    </row>
    <row r="44" spans="1:5" x14ac:dyDescent="0.25">
      <c r="A44" s="372" t="s">
        <v>134</v>
      </c>
      <c r="B44" s="373"/>
      <c r="C44" s="350">
        <f>SUM(C40:C43)</f>
        <v>-66301261.609999999</v>
      </c>
      <c r="D44" s="350">
        <f>SUM(D40:D43)</f>
        <v>2686351.2699999996</v>
      </c>
      <c r="E44" s="350">
        <f>SUM(E40:E43)</f>
        <v>-63614910.339999996</v>
      </c>
    </row>
    <row r="46" spans="1:5" x14ac:dyDescent="0.25">
      <c r="A46" s="371" t="s">
        <v>326</v>
      </c>
      <c r="B46" s="371" t="s">
        <v>327</v>
      </c>
      <c r="C46" s="343">
        <v>0</v>
      </c>
      <c r="D46" s="343">
        <v>0</v>
      </c>
      <c r="E46" s="343">
        <v>0</v>
      </c>
    </row>
    <row r="47" spans="1:5" x14ac:dyDescent="0.25">
      <c r="A47" s="371" t="s">
        <v>328</v>
      </c>
      <c r="B47" s="371" t="s">
        <v>329</v>
      </c>
      <c r="C47" s="343">
        <v>-57377591</v>
      </c>
      <c r="D47" s="343">
        <v>22353284</v>
      </c>
      <c r="E47" s="343">
        <v>-35024307</v>
      </c>
    </row>
    <row r="48" spans="1:5" x14ac:dyDescent="0.25">
      <c r="A48" s="371" t="s">
        <v>330</v>
      </c>
      <c r="B48" s="371" t="s">
        <v>331</v>
      </c>
      <c r="C48" s="343">
        <v>18120114</v>
      </c>
      <c r="D48" s="343">
        <v>-12342332</v>
      </c>
      <c r="E48" s="343">
        <v>5777782</v>
      </c>
    </row>
    <row r="49" spans="1:5" x14ac:dyDescent="0.25">
      <c r="A49" s="371" t="s">
        <v>332</v>
      </c>
      <c r="B49" s="371" t="s">
        <v>333</v>
      </c>
      <c r="C49" s="343">
        <v>0</v>
      </c>
      <c r="D49" s="343">
        <v>0</v>
      </c>
      <c r="E49" s="343">
        <v>0</v>
      </c>
    </row>
    <row r="50" spans="1:5" x14ac:dyDescent="0.25">
      <c r="A50" s="372" t="s">
        <v>334</v>
      </c>
      <c r="B50" s="373"/>
      <c r="C50" s="350">
        <f>SUM(C46:C49)</f>
        <v>-39257477</v>
      </c>
      <c r="D50" s="350">
        <f>SUM(D46:D49)</f>
        <v>10010952</v>
      </c>
      <c r="E50" s="350">
        <f>SUM(E46:E49)</f>
        <v>-29246525</v>
      </c>
    </row>
    <row r="52" spans="1:5" x14ac:dyDescent="0.25">
      <c r="A52" s="371" t="s">
        <v>135</v>
      </c>
      <c r="B52" s="371" t="s">
        <v>136</v>
      </c>
      <c r="C52" s="343">
        <v>-1052082261.8099999</v>
      </c>
      <c r="D52" s="343">
        <v>-163262734.13999999</v>
      </c>
      <c r="E52" s="343">
        <v>-1215344995.95</v>
      </c>
    </row>
    <row r="53" spans="1:5" x14ac:dyDescent="0.25">
      <c r="A53" s="371" t="s">
        <v>137</v>
      </c>
      <c r="B53" s="371" t="s">
        <v>138</v>
      </c>
      <c r="C53" s="343">
        <v>-1986266578.3499999</v>
      </c>
      <c r="D53" s="343">
        <v>-347247679</v>
      </c>
      <c r="E53" s="343">
        <v>-2333514257.3499999</v>
      </c>
    </row>
    <row r="54" spans="1:5" x14ac:dyDescent="0.25">
      <c r="A54" s="371" t="s">
        <v>139</v>
      </c>
      <c r="B54" s="371" t="s">
        <v>140</v>
      </c>
      <c r="C54" s="343">
        <v>-727806437.58000004</v>
      </c>
      <c r="D54" s="343">
        <v>-115734859</v>
      </c>
      <c r="E54" s="343">
        <v>-843541296.58000004</v>
      </c>
    </row>
    <row r="55" spans="1:5" x14ac:dyDescent="0.25">
      <c r="A55" s="371" t="s">
        <v>141</v>
      </c>
      <c r="B55" s="371" t="s">
        <v>142</v>
      </c>
      <c r="C55" s="343">
        <v>-58130851.390000001</v>
      </c>
      <c r="D55" s="343">
        <v>-10580218.01</v>
      </c>
      <c r="E55" s="343">
        <v>-68711069.400000006</v>
      </c>
    </row>
    <row r="56" spans="1:5" x14ac:dyDescent="0.25">
      <c r="A56" s="372" t="s">
        <v>143</v>
      </c>
      <c r="B56" s="373"/>
      <c r="C56" s="350">
        <f>SUM(C52:C55)</f>
        <v>-3824286129.1299996</v>
      </c>
      <c r="D56" s="350">
        <f>SUM(D52:D55)</f>
        <v>-636825490.14999998</v>
      </c>
      <c r="E56" s="350">
        <f>SUM(E52:E55)</f>
        <v>-4461111619.2799997</v>
      </c>
    </row>
    <row r="58" spans="1:5" x14ac:dyDescent="0.25">
      <c r="A58" s="372" t="s">
        <v>144</v>
      </c>
      <c r="B58" s="372" t="s">
        <v>39</v>
      </c>
      <c r="C58" s="350">
        <v>0</v>
      </c>
      <c r="D58" s="350">
        <v>0</v>
      </c>
      <c r="E58" s="350">
        <v>0</v>
      </c>
    </row>
    <row r="59" spans="1:5" x14ac:dyDescent="0.25">
      <c r="A59" s="371" t="s">
        <v>145</v>
      </c>
    </row>
    <row r="62" spans="1:5" x14ac:dyDescent="0.25">
      <c r="A62" s="371" t="s">
        <v>146</v>
      </c>
      <c r="B62" s="371" t="s">
        <v>80</v>
      </c>
      <c r="C62" s="343">
        <v>0</v>
      </c>
      <c r="D62" s="343">
        <v>0</v>
      </c>
      <c r="E62" s="343">
        <v>0</v>
      </c>
    </row>
    <row r="63" spans="1:5" x14ac:dyDescent="0.25">
      <c r="A63" s="371" t="s">
        <v>147</v>
      </c>
      <c r="B63" s="371" t="s">
        <v>81</v>
      </c>
      <c r="C63" s="343">
        <v>0</v>
      </c>
      <c r="D63" s="343">
        <v>0</v>
      </c>
      <c r="E63" s="343">
        <v>0</v>
      </c>
    </row>
    <row r="64" spans="1:5" x14ac:dyDescent="0.25">
      <c r="A64" s="371" t="s">
        <v>148</v>
      </c>
      <c r="B64" s="371" t="s">
        <v>82</v>
      </c>
      <c r="C64" s="343">
        <v>0</v>
      </c>
      <c r="D64" s="343">
        <v>0</v>
      </c>
      <c r="E64" s="343">
        <v>0</v>
      </c>
    </row>
    <row r="65" spans="1:5" x14ac:dyDescent="0.25">
      <c r="A65" s="371" t="s">
        <v>149</v>
      </c>
      <c r="B65" s="371" t="s">
        <v>83</v>
      </c>
      <c r="C65" s="343">
        <v>0</v>
      </c>
      <c r="D65" s="343">
        <v>0</v>
      </c>
      <c r="E65" s="343">
        <v>0</v>
      </c>
    </row>
    <row r="66" spans="1:5" x14ac:dyDescent="0.25">
      <c r="A66" s="372" t="s">
        <v>150</v>
      </c>
      <c r="B66" s="373"/>
      <c r="C66" s="350">
        <f>SUM(C62:C65)</f>
        <v>0</v>
      </c>
      <c r="D66" s="350">
        <f>SUM(D62:D65)</f>
        <v>0</v>
      </c>
      <c r="E66" s="350">
        <f>SUM(E62:E65)</f>
        <v>0</v>
      </c>
    </row>
    <row r="68" spans="1:5" x14ac:dyDescent="0.25">
      <c r="A68" s="371" t="s">
        <v>151</v>
      </c>
      <c r="B68" s="371" t="s">
        <v>40</v>
      </c>
      <c r="C68" s="343">
        <v>-33742036.689999998</v>
      </c>
      <c r="D68" s="343">
        <v>-5993169.5</v>
      </c>
      <c r="E68" s="343">
        <v>-39735206.189999998</v>
      </c>
    </row>
    <row r="69" spans="1:5" x14ac:dyDescent="0.25">
      <c r="A69" s="371" t="s">
        <v>152</v>
      </c>
      <c r="B69" s="371" t="s">
        <v>41</v>
      </c>
      <c r="C69" s="343">
        <v>-8700896.5399999991</v>
      </c>
      <c r="D69" s="343">
        <v>-1183076.75</v>
      </c>
      <c r="E69" s="343">
        <v>-9883973.2899999991</v>
      </c>
    </row>
    <row r="70" spans="1:5" x14ac:dyDescent="0.25">
      <c r="A70" s="371" t="s">
        <v>153</v>
      </c>
      <c r="B70" s="371" t="s">
        <v>42</v>
      </c>
      <c r="C70" s="343">
        <v>-2367548.15</v>
      </c>
      <c r="D70" s="343">
        <v>-367909.54</v>
      </c>
      <c r="E70" s="343">
        <v>-2735457.69</v>
      </c>
    </row>
    <row r="71" spans="1:5" x14ac:dyDescent="0.25">
      <c r="A71" s="371" t="s">
        <v>154</v>
      </c>
      <c r="B71" s="371" t="s">
        <v>43</v>
      </c>
      <c r="C71" s="343">
        <v>-5974176.8600000003</v>
      </c>
      <c r="D71" s="343">
        <v>-1099449.72</v>
      </c>
      <c r="E71" s="343">
        <v>-7073626.5800000001</v>
      </c>
    </row>
    <row r="72" spans="1:5" x14ac:dyDescent="0.25">
      <c r="A72" s="372" t="s">
        <v>155</v>
      </c>
      <c r="B72" s="373"/>
      <c r="C72" s="350">
        <f>SUM(C68:C71)</f>
        <v>-50784658.239999995</v>
      </c>
      <c r="D72" s="350">
        <f>SUM(D68:D71)</f>
        <v>-8643605.5099999998</v>
      </c>
      <c r="E72" s="350">
        <f>SUM(E68:E71)</f>
        <v>-59428263.749999993</v>
      </c>
    </row>
    <row r="74" spans="1:5" x14ac:dyDescent="0.25">
      <c r="A74" s="371" t="s">
        <v>156</v>
      </c>
      <c r="B74" s="371" t="s">
        <v>157</v>
      </c>
      <c r="C74" s="343">
        <v>8553815.2200000007</v>
      </c>
      <c r="D74" s="343">
        <v>1462675.46</v>
      </c>
      <c r="E74" s="343">
        <v>10016490.68</v>
      </c>
    </row>
    <row r="75" spans="1:5" x14ac:dyDescent="0.25">
      <c r="A75" s="371" t="s">
        <v>158</v>
      </c>
      <c r="B75" s="371" t="s">
        <v>159</v>
      </c>
      <c r="C75" s="343">
        <v>427486.41</v>
      </c>
      <c r="D75" s="343">
        <v>207048.32000000001</v>
      </c>
      <c r="E75" s="343">
        <v>634534.73</v>
      </c>
    </row>
    <row r="76" spans="1:5" x14ac:dyDescent="0.25">
      <c r="A76" s="371" t="s">
        <v>160</v>
      </c>
      <c r="B76" s="371" t="s">
        <v>161</v>
      </c>
      <c r="C76" s="343">
        <v>294995.11</v>
      </c>
      <c r="D76" s="343">
        <v>34108.71</v>
      </c>
      <c r="E76" s="343">
        <v>329103.82</v>
      </c>
    </row>
    <row r="77" spans="1:5" x14ac:dyDescent="0.25">
      <c r="A77" s="371" t="s">
        <v>162</v>
      </c>
      <c r="B77" s="371" t="s">
        <v>163</v>
      </c>
      <c r="C77" s="343">
        <v>1332143.48</v>
      </c>
      <c r="D77" s="343">
        <v>274459.64</v>
      </c>
      <c r="E77" s="343">
        <v>1606603.12</v>
      </c>
    </row>
    <row r="78" spans="1:5" x14ac:dyDescent="0.25">
      <c r="A78" s="372" t="s">
        <v>164</v>
      </c>
      <c r="B78" s="373"/>
      <c r="C78" s="350">
        <f>SUM(C74:C77)</f>
        <v>10608440.220000001</v>
      </c>
      <c r="D78" s="350">
        <f>SUM(D74:D77)</f>
        <v>1978292.13</v>
      </c>
      <c r="E78" s="350">
        <f>SUM(E74:E77)</f>
        <v>12586732.350000001</v>
      </c>
    </row>
    <row r="80" spans="1:5" x14ac:dyDescent="0.25">
      <c r="A80" s="372" t="s">
        <v>31</v>
      </c>
      <c r="B80" s="373"/>
      <c r="C80" s="350">
        <f>SUM(C14,C20,C26,C32,C38,C44,C50,C56,C66,C72,C78)</f>
        <v>258019125.57000014</v>
      </c>
      <c r="D80" s="350">
        <f>SUM(D14,D20,D26,D32,D38,D44,D50,D56,D66,D72,D78)</f>
        <v>68972237.2700001</v>
      </c>
      <c r="E80" s="350">
        <f>SUM(E14,E20,E26,E32,E38,E44,E50,E56,E66,E72,E78)</f>
        <v>326991362.84000075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70" zoomScaleNormal="100" zoomScaleSheetLayoutView="70" workbookViewId="0">
      <pane ySplit="8" topLeftCell="A28" activePane="bottomLeft" state="frozenSplit"/>
      <selection pane="bottomLeft" activeCell="D76" activeCellId="8" sqref="D11 D18 D24 D30 D42 D48 D54 D70 D76"/>
    </sheetView>
  </sheetViews>
  <sheetFormatPr defaultColWidth="9.109375" defaultRowHeight="13.2" x14ac:dyDescent="0.25"/>
  <cols>
    <col min="1" max="1" width="30.6640625" style="411" customWidth="1"/>
    <col min="2" max="2" width="33.6640625" style="411" customWidth="1"/>
    <col min="3" max="5" width="22.6640625" style="420" customWidth="1"/>
    <col min="6" max="16384" width="9.109375" style="411"/>
  </cols>
  <sheetData>
    <row r="1" spans="1:5" x14ac:dyDescent="0.25">
      <c r="A1" s="409" t="s">
        <v>53</v>
      </c>
      <c r="B1" s="409"/>
      <c r="C1" s="410"/>
      <c r="D1" s="410"/>
      <c r="E1" s="410"/>
    </row>
    <row r="2" spans="1:5" x14ac:dyDescent="0.25">
      <c r="A2" s="412" t="s">
        <v>86</v>
      </c>
      <c r="B2" s="412"/>
      <c r="C2" s="413"/>
      <c r="D2" s="413"/>
      <c r="E2" s="413"/>
    </row>
    <row r="3" spans="1:5" x14ac:dyDescent="0.25">
      <c r="A3" s="409" t="s">
        <v>335</v>
      </c>
      <c r="B3" s="409"/>
      <c r="C3" s="410"/>
      <c r="D3" s="410"/>
      <c r="E3" s="410"/>
    </row>
    <row r="4" spans="1:5" x14ac:dyDescent="0.25">
      <c r="A4" s="409" t="s">
        <v>88</v>
      </c>
      <c r="B4" s="409"/>
      <c r="C4" s="410"/>
      <c r="D4" s="410"/>
      <c r="E4" s="410"/>
    </row>
    <row r="5" spans="1:5" x14ac:dyDescent="0.25">
      <c r="A5" s="414" t="s">
        <v>336</v>
      </c>
      <c r="B5" s="414"/>
      <c r="C5" s="415"/>
      <c r="D5" s="415"/>
      <c r="E5" s="415"/>
    </row>
    <row r="7" spans="1:5" x14ac:dyDescent="0.25">
      <c r="B7" s="416" t="s">
        <v>30</v>
      </c>
      <c r="C7" s="417" t="s">
        <v>90</v>
      </c>
      <c r="D7" s="417" t="s">
        <v>185</v>
      </c>
      <c r="E7" s="417" t="s">
        <v>92</v>
      </c>
    </row>
    <row r="9" spans="1:5" x14ac:dyDescent="0.25">
      <c r="A9" s="418" t="s">
        <v>93</v>
      </c>
      <c r="B9" s="418" t="s">
        <v>34</v>
      </c>
      <c r="C9" s="419">
        <v>1356803575.6500001</v>
      </c>
      <c r="D9" s="419">
        <v>190683936.94</v>
      </c>
      <c r="E9" s="419">
        <v>1547487512.5899999</v>
      </c>
    </row>
    <row r="10" spans="1:5" x14ac:dyDescent="0.25">
      <c r="A10" s="418" t="s">
        <v>94</v>
      </c>
      <c r="B10" s="418" t="s">
        <v>35</v>
      </c>
      <c r="C10" s="420">
        <v>2714214765.5799999</v>
      </c>
      <c r="D10" s="420">
        <v>373468758.48000002</v>
      </c>
      <c r="E10" s="420">
        <v>3087683524.0599999</v>
      </c>
    </row>
    <row r="11" spans="1:5" x14ac:dyDescent="0.25">
      <c r="A11" s="418" t="s">
        <v>95</v>
      </c>
      <c r="B11" s="418" t="s">
        <v>36</v>
      </c>
      <c r="C11" s="420">
        <v>801649281.70000005</v>
      </c>
      <c r="D11" s="420">
        <v>123869511.59</v>
      </c>
      <c r="E11" s="420">
        <v>925518793.28999996</v>
      </c>
    </row>
    <row r="12" spans="1:5" x14ac:dyDescent="0.25">
      <c r="A12" s="418" t="s">
        <v>96</v>
      </c>
      <c r="B12" s="418" t="s">
        <v>37</v>
      </c>
      <c r="C12" s="420">
        <v>49508763.850000001</v>
      </c>
      <c r="D12" s="420">
        <v>7527405.1500000004</v>
      </c>
      <c r="E12" s="420">
        <v>57036169</v>
      </c>
    </row>
    <row r="13" spans="1:5" x14ac:dyDescent="0.25">
      <c r="A13" s="418" t="s">
        <v>97</v>
      </c>
      <c r="B13" s="418" t="s">
        <v>38</v>
      </c>
      <c r="C13" s="420">
        <v>0</v>
      </c>
      <c r="D13" s="420">
        <v>0</v>
      </c>
      <c r="E13" s="420">
        <v>0</v>
      </c>
    </row>
    <row r="14" spans="1:5" x14ac:dyDescent="0.25">
      <c r="A14" s="421" t="s">
        <v>98</v>
      </c>
      <c r="B14" s="422"/>
      <c r="C14" s="423">
        <f>SUM(C9:C13)</f>
        <v>4922176386.7800007</v>
      </c>
      <c r="D14" s="423">
        <f>SUM(D9:D13)</f>
        <v>695549612.16000009</v>
      </c>
      <c r="E14" s="423">
        <f>SUM(E9:E13)</f>
        <v>5617725998.9399996</v>
      </c>
    </row>
    <row r="16" spans="1:5" x14ac:dyDescent="0.25">
      <c r="A16" s="418" t="s">
        <v>99</v>
      </c>
      <c r="B16" s="418" t="s">
        <v>100</v>
      </c>
      <c r="C16" s="420">
        <v>951412.64</v>
      </c>
      <c r="D16" s="420">
        <v>147094.82999999999</v>
      </c>
      <c r="E16" s="420">
        <v>1098507.47</v>
      </c>
    </row>
    <row r="17" spans="1:5" x14ac:dyDescent="0.25">
      <c r="A17" s="418" t="s">
        <v>101</v>
      </c>
      <c r="B17" s="418" t="s">
        <v>102</v>
      </c>
      <c r="C17" s="420">
        <v>1897272.93</v>
      </c>
      <c r="D17" s="420">
        <v>288160.69</v>
      </c>
      <c r="E17" s="420">
        <v>2185433.62</v>
      </c>
    </row>
    <row r="18" spans="1:5" x14ac:dyDescent="0.25">
      <c r="A18" s="418" t="s">
        <v>103</v>
      </c>
      <c r="B18" s="418" t="s">
        <v>104</v>
      </c>
      <c r="C18" s="420">
        <v>564241.15</v>
      </c>
      <c r="D18" s="420">
        <v>95754.97</v>
      </c>
      <c r="E18" s="420">
        <v>659996.12</v>
      </c>
    </row>
    <row r="19" spans="1:5" x14ac:dyDescent="0.25">
      <c r="A19" s="418" t="s">
        <v>105</v>
      </c>
      <c r="B19" s="418" t="s">
        <v>106</v>
      </c>
      <c r="C19" s="420">
        <v>31576.81</v>
      </c>
      <c r="D19" s="420">
        <v>5432.1</v>
      </c>
      <c r="E19" s="420">
        <v>37008.910000000003</v>
      </c>
    </row>
    <row r="20" spans="1:5" x14ac:dyDescent="0.25">
      <c r="A20" s="421" t="s">
        <v>107</v>
      </c>
      <c r="B20" s="422"/>
      <c r="C20" s="423">
        <f>SUM(C16:C19)</f>
        <v>3444503.53</v>
      </c>
      <c r="D20" s="423">
        <f>SUM(D16:D19)</f>
        <v>536442.59</v>
      </c>
      <c r="E20" s="423">
        <f>SUM(E16:E19)</f>
        <v>3980946.12</v>
      </c>
    </row>
    <row r="22" spans="1:5" x14ac:dyDescent="0.25">
      <c r="A22" s="418" t="s">
        <v>108</v>
      </c>
      <c r="B22" s="418" t="s">
        <v>109</v>
      </c>
      <c r="C22" s="420">
        <v>602261.92000000004</v>
      </c>
      <c r="D22" s="420">
        <v>79444.14</v>
      </c>
      <c r="E22" s="420">
        <v>681706.06</v>
      </c>
    </row>
    <row r="23" spans="1:5" x14ac:dyDescent="0.25">
      <c r="A23" s="418" t="s">
        <v>110</v>
      </c>
      <c r="B23" s="418" t="s">
        <v>111</v>
      </c>
      <c r="C23" s="420">
        <v>1201990.3400000001</v>
      </c>
      <c r="D23" s="420">
        <v>155727.84</v>
      </c>
      <c r="E23" s="420">
        <v>1357718.18</v>
      </c>
    </row>
    <row r="24" spans="1:5" x14ac:dyDescent="0.25">
      <c r="A24" s="418" t="s">
        <v>112</v>
      </c>
      <c r="B24" s="418" t="s">
        <v>113</v>
      </c>
      <c r="C24" s="420">
        <v>356359.9</v>
      </c>
      <c r="D24" s="420">
        <v>51609.67</v>
      </c>
      <c r="E24" s="420">
        <v>407969.57</v>
      </c>
    </row>
    <row r="25" spans="1:5" x14ac:dyDescent="0.25">
      <c r="A25" s="418" t="s">
        <v>114</v>
      </c>
      <c r="B25" s="418" t="s">
        <v>115</v>
      </c>
      <c r="C25" s="420">
        <v>21446.39</v>
      </c>
      <c r="D25" s="420">
        <v>3160.33</v>
      </c>
      <c r="E25" s="420">
        <v>24606.720000000001</v>
      </c>
    </row>
    <row r="26" spans="1:5" x14ac:dyDescent="0.25">
      <c r="A26" s="421" t="s">
        <v>116</v>
      </c>
      <c r="B26" s="422"/>
      <c r="C26" s="423">
        <f>SUM(C22:C25)</f>
        <v>2182058.5500000003</v>
      </c>
      <c r="D26" s="423">
        <f>SUM(D22:D25)</f>
        <v>289941.98</v>
      </c>
      <c r="E26" s="423">
        <f>SUM(E22:E25)</f>
        <v>2472000.5300000003</v>
      </c>
    </row>
    <row r="28" spans="1:5" x14ac:dyDescent="0.25">
      <c r="A28" s="418" t="s">
        <v>117</v>
      </c>
      <c r="B28" s="418" t="s">
        <v>118</v>
      </c>
      <c r="C28" s="420">
        <v>818.15</v>
      </c>
      <c r="D28" s="420">
        <v>274</v>
      </c>
      <c r="E28" s="420">
        <v>1092.1500000000001</v>
      </c>
    </row>
    <row r="29" spans="1:5" x14ac:dyDescent="0.25">
      <c r="A29" s="418" t="s">
        <v>119</v>
      </c>
      <c r="B29" s="418" t="s">
        <v>120</v>
      </c>
      <c r="C29" s="420">
        <v>1645.56</v>
      </c>
      <c r="D29" s="420">
        <v>537.1</v>
      </c>
      <c r="E29" s="420">
        <v>2182.66</v>
      </c>
    </row>
    <row r="30" spans="1:5" x14ac:dyDescent="0.25">
      <c r="A30" s="418" t="s">
        <v>121</v>
      </c>
      <c r="B30" s="418" t="s">
        <v>122</v>
      </c>
      <c r="C30" s="420">
        <v>503.8</v>
      </c>
      <c r="D30" s="420">
        <v>178</v>
      </c>
      <c r="E30" s="420">
        <v>681.8</v>
      </c>
    </row>
    <row r="31" spans="1:5" x14ac:dyDescent="0.25">
      <c r="A31" s="418" t="s">
        <v>123</v>
      </c>
      <c r="B31" s="418" t="s">
        <v>124</v>
      </c>
      <c r="C31" s="420">
        <v>32.49</v>
      </c>
      <c r="D31" s="420">
        <v>10.9</v>
      </c>
      <c r="E31" s="420">
        <v>43.39</v>
      </c>
    </row>
    <row r="32" spans="1:5" x14ac:dyDescent="0.25">
      <c r="A32" s="421" t="s">
        <v>125</v>
      </c>
      <c r="B32" s="422"/>
      <c r="C32" s="423">
        <f>SUM(C28:C31)</f>
        <v>3000</v>
      </c>
      <c r="D32" s="423">
        <f>SUM(D28:D31)</f>
        <v>1000</v>
      </c>
      <c r="E32" s="423">
        <f>SUM(E28:E31)</f>
        <v>3999.9999999999995</v>
      </c>
    </row>
    <row r="34" spans="1:5" x14ac:dyDescent="0.25">
      <c r="A34" s="418" t="s">
        <v>317</v>
      </c>
      <c r="B34" s="418" t="s">
        <v>318</v>
      </c>
      <c r="C34" s="420">
        <v>0</v>
      </c>
      <c r="D34" s="420">
        <v>0</v>
      </c>
      <c r="E34" s="420">
        <v>0</v>
      </c>
    </row>
    <row r="35" spans="1:5" x14ac:dyDescent="0.25">
      <c r="A35" s="418" t="s">
        <v>319</v>
      </c>
      <c r="B35" s="418" t="s">
        <v>320</v>
      </c>
      <c r="C35" s="420">
        <v>0</v>
      </c>
      <c r="D35" s="420">
        <v>0</v>
      </c>
      <c r="E35" s="420">
        <v>0</v>
      </c>
    </row>
    <row r="36" spans="1:5" x14ac:dyDescent="0.25">
      <c r="A36" s="418" t="s">
        <v>321</v>
      </c>
      <c r="B36" s="418" t="s">
        <v>322</v>
      </c>
      <c r="C36" s="420">
        <v>0</v>
      </c>
      <c r="D36" s="420">
        <v>0</v>
      </c>
      <c r="E36" s="420">
        <v>0</v>
      </c>
    </row>
    <row r="37" spans="1:5" x14ac:dyDescent="0.25">
      <c r="A37" s="418" t="s">
        <v>323</v>
      </c>
      <c r="B37" s="418" t="s">
        <v>324</v>
      </c>
      <c r="C37" s="420">
        <v>0</v>
      </c>
      <c r="D37" s="420">
        <v>0</v>
      </c>
      <c r="E37" s="420">
        <v>0</v>
      </c>
    </row>
    <row r="38" spans="1:5" x14ac:dyDescent="0.25">
      <c r="A38" s="421" t="s">
        <v>325</v>
      </c>
      <c r="B38" s="422"/>
      <c r="C38" s="423">
        <f>SUM(C34:C37)</f>
        <v>0</v>
      </c>
      <c r="D38" s="423">
        <f>SUM(D34:D37)</f>
        <v>0</v>
      </c>
      <c r="E38" s="423">
        <f>SUM(E34:E37)</f>
        <v>0</v>
      </c>
    </row>
    <row r="40" spans="1:5" x14ac:dyDescent="0.25">
      <c r="A40" s="418" t="s">
        <v>126</v>
      </c>
      <c r="B40" s="418" t="s">
        <v>127</v>
      </c>
      <c r="C40" s="420">
        <v>-58800680.789999999</v>
      </c>
      <c r="D40" s="420">
        <v>59513.25</v>
      </c>
      <c r="E40" s="420">
        <v>-58741167.539999999</v>
      </c>
    </row>
    <row r="41" spans="1:5" x14ac:dyDescent="0.25">
      <c r="A41" s="418" t="s">
        <v>128</v>
      </c>
      <c r="B41" s="418" t="s">
        <v>129</v>
      </c>
      <c r="C41" s="420">
        <v>-3550638.73</v>
      </c>
      <c r="D41" s="420">
        <v>13147.27</v>
      </c>
      <c r="E41" s="420">
        <v>-3537491.46</v>
      </c>
    </row>
    <row r="42" spans="1:5" x14ac:dyDescent="0.25">
      <c r="A42" s="418" t="s">
        <v>130</v>
      </c>
      <c r="B42" s="418" t="s">
        <v>131</v>
      </c>
      <c r="C42" s="420">
        <v>-1169298.82</v>
      </c>
      <c r="D42" s="420">
        <v>-2546.89</v>
      </c>
      <c r="E42" s="420">
        <v>-1171845.71</v>
      </c>
    </row>
    <row r="43" spans="1:5" x14ac:dyDescent="0.25">
      <c r="A43" s="418" t="s">
        <v>132</v>
      </c>
      <c r="B43" s="418" t="s">
        <v>133</v>
      </c>
      <c r="C43" s="420">
        <v>-94292</v>
      </c>
      <c r="D43" s="420">
        <v>-387.46</v>
      </c>
      <c r="E43" s="420">
        <v>-94679.46</v>
      </c>
    </row>
    <row r="44" spans="1:5" x14ac:dyDescent="0.25">
      <c r="A44" s="421" t="s">
        <v>134</v>
      </c>
      <c r="B44" s="422"/>
      <c r="C44" s="423">
        <f>SUM(C40:C43)</f>
        <v>-63614910.339999996</v>
      </c>
      <c r="D44" s="423">
        <f>SUM(D40:D43)</f>
        <v>69726.17</v>
      </c>
      <c r="E44" s="423">
        <f>SUM(E40:E43)</f>
        <v>-63545184.170000002</v>
      </c>
    </row>
    <row r="46" spans="1:5" x14ac:dyDescent="0.25">
      <c r="A46" s="418" t="s">
        <v>326</v>
      </c>
      <c r="B46" s="418" t="s">
        <v>327</v>
      </c>
      <c r="C46" s="420">
        <v>0</v>
      </c>
      <c r="D46" s="420">
        <v>0</v>
      </c>
      <c r="E46" s="420">
        <v>0</v>
      </c>
    </row>
    <row r="47" spans="1:5" x14ac:dyDescent="0.25">
      <c r="A47" s="418" t="s">
        <v>328</v>
      </c>
      <c r="B47" s="418" t="s">
        <v>329</v>
      </c>
      <c r="C47" s="420">
        <v>35024307</v>
      </c>
      <c r="D47" s="420">
        <v>60798143</v>
      </c>
      <c r="E47" s="420">
        <v>95822450</v>
      </c>
    </row>
    <row r="48" spans="1:5" x14ac:dyDescent="0.25">
      <c r="A48" s="418" t="s">
        <v>330</v>
      </c>
      <c r="B48" s="418" t="s">
        <v>331</v>
      </c>
      <c r="C48" s="420">
        <v>-5777782</v>
      </c>
      <c r="D48" s="420">
        <v>-18963698</v>
      </c>
      <c r="E48" s="420">
        <v>-24741480</v>
      </c>
    </row>
    <row r="49" spans="1:5" x14ac:dyDescent="0.25">
      <c r="A49" s="418" t="s">
        <v>332</v>
      </c>
      <c r="B49" s="418" t="s">
        <v>333</v>
      </c>
      <c r="C49" s="420">
        <v>0</v>
      </c>
      <c r="D49" s="420">
        <v>0</v>
      </c>
      <c r="E49" s="420">
        <v>0</v>
      </c>
    </row>
    <row r="50" spans="1:5" x14ac:dyDescent="0.25">
      <c r="A50" s="421" t="s">
        <v>334</v>
      </c>
      <c r="B50" s="422"/>
      <c r="C50" s="423">
        <f>SUM(C46:C49)</f>
        <v>29246525</v>
      </c>
      <c r="D50" s="423">
        <f>SUM(D46:D49)</f>
        <v>41834445</v>
      </c>
      <c r="E50" s="423">
        <f>SUM(E46:E49)</f>
        <v>71080970</v>
      </c>
    </row>
    <row r="52" spans="1:5" x14ac:dyDescent="0.25">
      <c r="A52" s="418" t="s">
        <v>135</v>
      </c>
      <c r="B52" s="418" t="s">
        <v>136</v>
      </c>
      <c r="C52" s="420">
        <v>-1215344995.95</v>
      </c>
      <c r="D52" s="420">
        <v>-206101871.46000001</v>
      </c>
      <c r="E52" s="420">
        <v>-1421446867.4100001</v>
      </c>
    </row>
    <row r="53" spans="1:5" x14ac:dyDescent="0.25">
      <c r="A53" s="418" t="s">
        <v>137</v>
      </c>
      <c r="B53" s="418" t="s">
        <v>138</v>
      </c>
      <c r="C53" s="420">
        <v>-2333514257.3499999</v>
      </c>
      <c r="D53" s="420">
        <v>-286449536</v>
      </c>
      <c r="E53" s="420">
        <v>-2619963793.3499999</v>
      </c>
    </row>
    <row r="54" spans="1:5" x14ac:dyDescent="0.25">
      <c r="A54" s="418" t="s">
        <v>139</v>
      </c>
      <c r="B54" s="418" t="s">
        <v>140</v>
      </c>
      <c r="C54" s="420">
        <v>-843541296.58000004</v>
      </c>
      <c r="D54" s="420">
        <v>-134278889</v>
      </c>
      <c r="E54" s="420">
        <v>-977820185.58000004</v>
      </c>
    </row>
    <row r="55" spans="1:5" x14ac:dyDescent="0.25">
      <c r="A55" s="418" t="s">
        <v>141</v>
      </c>
      <c r="B55" s="418" t="s">
        <v>142</v>
      </c>
      <c r="C55" s="420">
        <v>-68711069.400000006</v>
      </c>
      <c r="D55" s="420">
        <v>-14365671.560000001</v>
      </c>
      <c r="E55" s="420">
        <v>-83076740.959999993</v>
      </c>
    </row>
    <row r="56" spans="1:5" x14ac:dyDescent="0.25">
      <c r="A56" s="421" t="s">
        <v>143</v>
      </c>
      <c r="B56" s="422"/>
      <c r="C56" s="423">
        <f>SUM(C52:C55)</f>
        <v>-4461111619.2799997</v>
      </c>
      <c r="D56" s="423">
        <f>SUM(D52:D55)</f>
        <v>-641195968.01999998</v>
      </c>
      <c r="E56" s="423">
        <f>SUM(E52:E55)</f>
        <v>-5102307587.3000002</v>
      </c>
    </row>
    <row r="58" spans="1:5" x14ac:dyDescent="0.25">
      <c r="A58" s="421" t="s">
        <v>144</v>
      </c>
      <c r="B58" s="421" t="s">
        <v>39</v>
      </c>
      <c r="C58" s="423">
        <v>0</v>
      </c>
      <c r="D58" s="423">
        <v>0</v>
      </c>
      <c r="E58" s="423">
        <v>0</v>
      </c>
    </row>
    <row r="59" spans="1:5" x14ac:dyDescent="0.25">
      <c r="A59" s="418" t="s">
        <v>145</v>
      </c>
    </row>
    <row r="62" spans="1:5" x14ac:dyDescent="0.25">
      <c r="A62" s="418" t="s">
        <v>146</v>
      </c>
      <c r="B62" s="418" t="s">
        <v>80</v>
      </c>
      <c r="C62" s="420">
        <v>0</v>
      </c>
      <c r="D62" s="420">
        <v>0</v>
      </c>
      <c r="E62" s="420">
        <v>0</v>
      </c>
    </row>
    <row r="63" spans="1:5" x14ac:dyDescent="0.25">
      <c r="A63" s="418" t="s">
        <v>147</v>
      </c>
      <c r="B63" s="418" t="s">
        <v>81</v>
      </c>
      <c r="C63" s="420">
        <v>0</v>
      </c>
      <c r="D63" s="420">
        <v>0</v>
      </c>
      <c r="E63" s="420">
        <v>0</v>
      </c>
    </row>
    <row r="64" spans="1:5" x14ac:dyDescent="0.25">
      <c r="A64" s="418" t="s">
        <v>148</v>
      </c>
      <c r="B64" s="418" t="s">
        <v>82</v>
      </c>
      <c r="C64" s="420">
        <v>0</v>
      </c>
      <c r="D64" s="420">
        <v>0</v>
      </c>
      <c r="E64" s="420">
        <v>0</v>
      </c>
    </row>
    <row r="65" spans="1:5" x14ac:dyDescent="0.25">
      <c r="A65" s="418" t="s">
        <v>149</v>
      </c>
      <c r="B65" s="418" t="s">
        <v>83</v>
      </c>
      <c r="C65" s="420">
        <v>0</v>
      </c>
      <c r="D65" s="420">
        <v>0</v>
      </c>
      <c r="E65" s="420">
        <v>0</v>
      </c>
    </row>
    <row r="66" spans="1:5" x14ac:dyDescent="0.25">
      <c r="A66" s="421" t="s">
        <v>150</v>
      </c>
      <c r="B66" s="422"/>
      <c r="C66" s="423">
        <f>SUM(C62:C65)</f>
        <v>0</v>
      </c>
      <c r="D66" s="423">
        <f>SUM(D62:D65)</f>
        <v>0</v>
      </c>
      <c r="E66" s="423">
        <f>SUM(E62:E65)</f>
        <v>0</v>
      </c>
    </row>
    <row r="68" spans="1:5" x14ac:dyDescent="0.25">
      <c r="A68" s="418" t="s">
        <v>151</v>
      </c>
      <c r="B68" s="418" t="s">
        <v>40</v>
      </c>
      <c r="C68" s="420">
        <v>-39735206.189999998</v>
      </c>
      <c r="D68" s="420">
        <v>-5637401.2000000002</v>
      </c>
      <c r="E68" s="420">
        <v>-45372607.390000001</v>
      </c>
    </row>
    <row r="69" spans="1:5" x14ac:dyDescent="0.25">
      <c r="A69" s="418" t="s">
        <v>152</v>
      </c>
      <c r="B69" s="418" t="s">
        <v>41</v>
      </c>
      <c r="C69" s="420">
        <v>-9883973.2899999991</v>
      </c>
      <c r="D69" s="420">
        <v>-1330688.92</v>
      </c>
      <c r="E69" s="420">
        <v>-11214662.210000001</v>
      </c>
    </row>
    <row r="70" spans="1:5" x14ac:dyDescent="0.25">
      <c r="A70" s="418" t="s">
        <v>153</v>
      </c>
      <c r="B70" s="418" t="s">
        <v>42</v>
      </c>
      <c r="C70" s="420">
        <v>-2735457.69</v>
      </c>
      <c r="D70" s="420">
        <v>-437198.42</v>
      </c>
      <c r="E70" s="420">
        <v>-3172656.11</v>
      </c>
    </row>
    <row r="71" spans="1:5" x14ac:dyDescent="0.25">
      <c r="A71" s="418" t="s">
        <v>154</v>
      </c>
      <c r="B71" s="418" t="s">
        <v>43</v>
      </c>
      <c r="C71" s="420">
        <v>-7073626.5800000001</v>
      </c>
      <c r="D71" s="420">
        <v>-1083533.22</v>
      </c>
      <c r="E71" s="420">
        <v>-8157159.7999999998</v>
      </c>
    </row>
    <row r="72" spans="1:5" x14ac:dyDescent="0.25">
      <c r="A72" s="421" t="s">
        <v>155</v>
      </c>
      <c r="B72" s="422"/>
      <c r="C72" s="423">
        <f>SUM(C68:C71)</f>
        <v>-59428263.749999993</v>
      </c>
      <c r="D72" s="423">
        <f>SUM(D68:D71)</f>
        <v>-8488821.7599999998</v>
      </c>
      <c r="E72" s="423">
        <f>SUM(E68:E71)</f>
        <v>-67917085.510000005</v>
      </c>
    </row>
    <row r="74" spans="1:5" x14ac:dyDescent="0.25">
      <c r="A74" s="418" t="s">
        <v>156</v>
      </c>
      <c r="B74" s="418" t="s">
        <v>157</v>
      </c>
      <c r="C74" s="420">
        <v>10016490.68</v>
      </c>
      <c r="D74" s="420">
        <v>1557880.52</v>
      </c>
      <c r="E74" s="420">
        <v>11574371.199999999</v>
      </c>
    </row>
    <row r="75" spans="1:5" x14ac:dyDescent="0.25">
      <c r="A75" s="418" t="s">
        <v>158</v>
      </c>
      <c r="B75" s="418" t="s">
        <v>159</v>
      </c>
      <c r="C75" s="420">
        <v>634534.73</v>
      </c>
      <c r="D75" s="420">
        <v>328308.67</v>
      </c>
      <c r="E75" s="420">
        <v>962843.4</v>
      </c>
    </row>
    <row r="76" spans="1:5" x14ac:dyDescent="0.25">
      <c r="A76" s="418" t="s">
        <v>160</v>
      </c>
      <c r="B76" s="418" t="s">
        <v>161</v>
      </c>
      <c r="C76" s="420">
        <v>329103.82</v>
      </c>
      <c r="D76" s="420">
        <v>36979.949999999997</v>
      </c>
      <c r="E76" s="420">
        <v>366083.77</v>
      </c>
    </row>
    <row r="77" spans="1:5" x14ac:dyDescent="0.25">
      <c r="A77" s="418" t="s">
        <v>162</v>
      </c>
      <c r="B77" s="418" t="s">
        <v>163</v>
      </c>
      <c r="C77" s="420">
        <v>1606603.12</v>
      </c>
      <c r="D77" s="420">
        <v>342941.76</v>
      </c>
      <c r="E77" s="420">
        <v>1949544.88</v>
      </c>
    </row>
    <row r="78" spans="1:5" x14ac:dyDescent="0.25">
      <c r="A78" s="421" t="s">
        <v>164</v>
      </c>
      <c r="B78" s="422"/>
      <c r="C78" s="423">
        <f>SUM(C74:C77)</f>
        <v>12586732.350000001</v>
      </c>
      <c r="D78" s="423">
        <f>SUM(D74:D77)</f>
        <v>2266110.9</v>
      </c>
      <c r="E78" s="423">
        <f>SUM(E74:E77)</f>
        <v>14852843.25</v>
      </c>
    </row>
    <row r="80" spans="1:5" x14ac:dyDescent="0.25">
      <c r="A80" s="421" t="s">
        <v>31</v>
      </c>
      <c r="B80" s="422"/>
      <c r="C80" s="423">
        <f>C14+C20+C26+C32+C44+C56+C58+C66+C72+C78+C50+C38</f>
        <v>385484412.84000075</v>
      </c>
      <c r="D80" s="423">
        <f>D14+D20+D26+D32+D44+D56+D58+D66+D72+D78+D50+D38</f>
        <v>90862489.020000115</v>
      </c>
      <c r="E80" s="423">
        <f>E14+E20+E26+E32+E44+E56+E58+E66+E72+E78+E50+E38</f>
        <v>476346901.85999894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AX126"/>
  <sheetViews>
    <sheetView tabSelected="1" view="pageBreakPreview" topLeftCell="A59" zoomScaleNormal="94" zoomScaleSheetLayoutView="100" workbookViewId="0">
      <selection activeCell="H75" sqref="H75"/>
    </sheetView>
  </sheetViews>
  <sheetFormatPr defaultColWidth="8.88671875" defaultRowHeight="13.2" x14ac:dyDescent="0.25"/>
  <cols>
    <col min="1" max="1" width="27.6640625" style="30" customWidth="1"/>
    <col min="2" max="2" width="20.5546875" style="32" customWidth="1"/>
    <col min="3" max="4" width="18.33203125" style="32" customWidth="1"/>
    <col min="5" max="5" width="19.44140625" style="32" bestFit="1" customWidth="1"/>
    <col min="6" max="6" width="15.109375" style="32" customWidth="1"/>
    <col min="7" max="7" width="17.109375" style="32" customWidth="1"/>
    <col min="8" max="8" width="19.33203125" style="32" customWidth="1"/>
    <col min="9" max="9" width="14.88671875" style="30" customWidth="1"/>
    <col min="10" max="10" width="15.88671875" style="30" customWidth="1"/>
    <col min="11" max="11" width="14.33203125" style="30" customWidth="1"/>
    <col min="12" max="14" width="17.109375" style="30" customWidth="1"/>
    <col min="15" max="15" width="16.6640625" style="30" customWidth="1"/>
    <col min="16" max="17" width="16.88671875" style="30" customWidth="1"/>
    <col min="18" max="18" width="15.33203125" style="30" customWidth="1"/>
    <col min="19" max="19" width="14" style="30" customWidth="1"/>
    <col min="20" max="22" width="16.44140625" style="30" customWidth="1"/>
    <col min="23" max="23" width="14.5546875" style="30" customWidth="1"/>
    <col min="24" max="25" width="12.6640625" style="30" customWidth="1"/>
    <col min="26" max="26" width="10.5546875" style="30" customWidth="1"/>
    <col min="27" max="27" width="10.33203125" style="30" customWidth="1"/>
    <col min="28" max="30" width="8.88671875" style="30" customWidth="1"/>
    <col min="31" max="31" width="16.6640625" style="30" bestFit="1" customWidth="1"/>
    <col min="32" max="32" width="14.6640625" style="30" bestFit="1" customWidth="1"/>
    <col min="33" max="33" width="12.88671875" style="30" bestFit="1" customWidth="1"/>
    <col min="34" max="34" width="13.44140625" style="30" bestFit="1" customWidth="1"/>
    <col min="35" max="35" width="12.44140625" style="30" bestFit="1" customWidth="1"/>
    <col min="36" max="16384" width="8.88671875" style="30"/>
  </cols>
  <sheetData>
    <row r="1" spans="1:43" s="219" customFormat="1" x14ac:dyDescent="0.25">
      <c r="A1" s="604" t="s">
        <v>0</v>
      </c>
      <c r="B1" s="604"/>
      <c r="C1" s="604"/>
      <c r="D1" s="604"/>
      <c r="E1" s="604"/>
      <c r="F1" s="604"/>
      <c r="G1" s="604"/>
      <c r="H1" s="600"/>
    </row>
    <row r="2" spans="1:43" s="219" customFormat="1" x14ac:dyDescent="0.25">
      <c r="A2" s="604" t="s">
        <v>1</v>
      </c>
      <c r="B2" s="604"/>
      <c r="C2" s="604"/>
      <c r="D2" s="604"/>
      <c r="E2" s="604"/>
      <c r="F2" s="604"/>
      <c r="G2" s="604"/>
      <c r="H2" s="601"/>
      <c r="AE2" s="593"/>
    </row>
    <row r="3" spans="1:43" x14ac:dyDescent="0.25">
      <c r="A3" s="604">
        <v>2015</v>
      </c>
      <c r="B3" s="604"/>
      <c r="C3" s="604"/>
      <c r="D3" s="604"/>
      <c r="E3" s="604"/>
      <c r="F3" s="604"/>
      <c r="G3" s="604"/>
      <c r="H3" s="581"/>
    </row>
    <row r="5" spans="1:43" x14ac:dyDescent="0.25">
      <c r="B5" s="582" t="s">
        <v>2</v>
      </c>
      <c r="C5" s="582" t="s">
        <v>3</v>
      </c>
      <c r="D5" s="582" t="s">
        <v>343</v>
      </c>
      <c r="E5" s="582" t="s">
        <v>4</v>
      </c>
      <c r="F5" s="582" t="s">
        <v>5</v>
      </c>
      <c r="G5" s="582" t="s">
        <v>6</v>
      </c>
      <c r="H5" s="582"/>
      <c r="I5" s="582"/>
      <c r="J5" s="582"/>
      <c r="K5" s="582"/>
      <c r="L5" s="582"/>
      <c r="M5" s="583"/>
      <c r="N5" s="583"/>
      <c r="O5" s="583"/>
      <c r="P5" s="583"/>
      <c r="Q5" s="583"/>
      <c r="R5" s="583"/>
      <c r="S5" s="583"/>
      <c r="AE5" s="584"/>
    </row>
    <row r="6" spans="1:43" x14ac:dyDescent="0.25">
      <c r="AE6" s="584"/>
    </row>
    <row r="7" spans="1:43" s="31" customFormat="1" ht="13.8" thickBot="1" x14ac:dyDescent="0.3">
      <c r="A7" s="219" t="s">
        <v>412</v>
      </c>
      <c r="B7" s="579">
        <v>5174001343.2910004</v>
      </c>
      <c r="C7" s="579">
        <v>353126730.93662077</v>
      </c>
      <c r="D7" s="579">
        <v>1931700889.1273201</v>
      </c>
      <c r="E7" s="579">
        <v>87366390.225243106</v>
      </c>
      <c r="F7" s="579">
        <v>411335198.28296506</v>
      </c>
      <c r="G7" s="579">
        <v>7956852050.5831547</v>
      </c>
      <c r="H7" s="74"/>
    </row>
    <row r="8" spans="1:43" ht="13.8" thickTop="1" x14ac:dyDescent="0.25">
      <c r="B8" s="568"/>
      <c r="C8" s="568"/>
      <c r="D8" s="568"/>
      <c r="E8" s="568"/>
      <c r="F8" s="568"/>
      <c r="G8" s="568"/>
    </row>
    <row r="9" spans="1:43" x14ac:dyDescent="0.25">
      <c r="A9" s="507" t="s">
        <v>432</v>
      </c>
      <c r="B9" s="568"/>
      <c r="C9" s="568"/>
      <c r="D9" s="568"/>
      <c r="E9" s="568"/>
      <c r="F9" s="568"/>
      <c r="G9" s="568"/>
    </row>
    <row r="10" spans="1:43" x14ac:dyDescent="0.25">
      <c r="A10" s="8" t="s">
        <v>8</v>
      </c>
      <c r="B10" s="568">
        <v>597605364.90999997</v>
      </c>
      <c r="C10" s="568">
        <v>1122852968.6600001</v>
      </c>
      <c r="D10" s="568">
        <v>0</v>
      </c>
      <c r="E10" s="568">
        <v>398185631.55000001</v>
      </c>
      <c r="F10" s="568">
        <v>60806672.780000001</v>
      </c>
      <c r="G10" s="568">
        <v>2179450637.9000001</v>
      </c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30"/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30"/>
    </row>
    <row r="11" spans="1:43" x14ac:dyDescent="0.25">
      <c r="A11" s="8" t="s">
        <v>9</v>
      </c>
      <c r="B11" s="568">
        <v>235747.39</v>
      </c>
      <c r="C11" s="568">
        <v>442625.06</v>
      </c>
      <c r="D11" s="568">
        <v>0</v>
      </c>
      <c r="E11" s="568">
        <v>385458.64</v>
      </c>
      <c r="F11" s="568">
        <v>24058.09</v>
      </c>
      <c r="G11" s="568">
        <v>1087889.18</v>
      </c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0"/>
      <c r="AN11" s="530"/>
      <c r="AO11" s="530"/>
      <c r="AP11" s="530"/>
      <c r="AQ11" s="530"/>
    </row>
    <row r="12" spans="1:43" x14ac:dyDescent="0.25">
      <c r="A12" s="8" t="s">
        <v>10</v>
      </c>
      <c r="B12" s="568">
        <v>-60001.099999999991</v>
      </c>
      <c r="C12" s="568">
        <v>-112737.25999999998</v>
      </c>
      <c r="D12" s="568">
        <v>0</v>
      </c>
      <c r="E12" s="568">
        <v>-39978.840000000011</v>
      </c>
      <c r="F12" s="568">
        <v>-6105.130000000001</v>
      </c>
      <c r="G12" s="568">
        <v>-218822.33000000002</v>
      </c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  <c r="Y12" s="530"/>
      <c r="Z12" s="530"/>
      <c r="AA12" s="530"/>
      <c r="AB12" s="530"/>
      <c r="AC12" s="530"/>
      <c r="AD12" s="530"/>
      <c r="AE12" s="530"/>
      <c r="AF12" s="530"/>
      <c r="AG12" s="530"/>
      <c r="AH12" s="530"/>
      <c r="AI12" s="530"/>
      <c r="AJ12" s="530"/>
      <c r="AK12" s="530"/>
      <c r="AL12" s="530"/>
      <c r="AM12" s="530"/>
      <c r="AN12" s="530"/>
      <c r="AO12" s="530"/>
      <c r="AP12" s="530"/>
      <c r="AQ12" s="530"/>
    </row>
    <row r="13" spans="1:43" x14ac:dyDescent="0.25">
      <c r="A13" s="8" t="s">
        <v>344</v>
      </c>
      <c r="B13" s="568">
        <v>0</v>
      </c>
      <c r="C13" s="568">
        <v>-189671212.31999999</v>
      </c>
      <c r="D13" s="568">
        <v>189671212.31999999</v>
      </c>
      <c r="E13" s="568">
        <v>0</v>
      </c>
      <c r="F13" s="568">
        <v>0</v>
      </c>
      <c r="G13" s="568">
        <v>0</v>
      </c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0"/>
      <c r="AD13" s="530"/>
      <c r="AE13" s="530"/>
      <c r="AF13" s="530"/>
      <c r="AG13" s="530"/>
      <c r="AH13" s="530"/>
      <c r="AI13" s="530"/>
      <c r="AJ13" s="530"/>
      <c r="AK13" s="530"/>
      <c r="AL13" s="530"/>
      <c r="AM13" s="530"/>
      <c r="AN13" s="530"/>
      <c r="AO13" s="530"/>
      <c r="AP13" s="530"/>
      <c r="AQ13" s="530"/>
    </row>
    <row r="14" spans="1:43" x14ac:dyDescent="0.25">
      <c r="A14" s="8" t="s">
        <v>11</v>
      </c>
      <c r="B14" s="568">
        <v>274.2</v>
      </c>
      <c r="C14" s="568">
        <v>515.20000000000005</v>
      </c>
      <c r="D14" s="568">
        <v>0</v>
      </c>
      <c r="E14" s="568">
        <v>182.7</v>
      </c>
      <c r="F14" s="568">
        <v>27.9</v>
      </c>
      <c r="G14" s="568">
        <v>1000.0000000000001</v>
      </c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0"/>
      <c r="Z14" s="530"/>
      <c r="AA14" s="530"/>
      <c r="AB14" s="530"/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0"/>
      <c r="AN14" s="530"/>
      <c r="AO14" s="530"/>
      <c r="AP14" s="530"/>
      <c r="AQ14" s="530"/>
    </row>
    <row r="15" spans="1:43" x14ac:dyDescent="0.25">
      <c r="A15" s="8" t="s">
        <v>12</v>
      </c>
      <c r="B15" s="568">
        <v>-1316103.78</v>
      </c>
      <c r="C15" s="568">
        <v>-8907828.75</v>
      </c>
      <c r="D15" s="568">
        <v>0</v>
      </c>
      <c r="E15" s="568">
        <v>-1105309.45</v>
      </c>
      <c r="F15" s="568">
        <v>-133985.04999999999</v>
      </c>
      <c r="G15" s="568">
        <v>-11463227.029999999</v>
      </c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85"/>
      <c r="AF15" s="530"/>
      <c r="AG15" s="530"/>
      <c r="AH15" s="530"/>
      <c r="AI15" s="530"/>
      <c r="AJ15" s="530"/>
      <c r="AK15" s="530"/>
      <c r="AL15" s="530"/>
      <c r="AM15" s="530"/>
      <c r="AN15" s="530"/>
      <c r="AO15" s="530"/>
      <c r="AP15" s="530"/>
      <c r="AQ15" s="530"/>
    </row>
    <row r="16" spans="1:43" x14ac:dyDescent="0.25">
      <c r="A16" s="8" t="s">
        <v>340</v>
      </c>
      <c r="B16" s="568">
        <v>-1951623.5200000003</v>
      </c>
      <c r="C16" s="568">
        <v>0</v>
      </c>
      <c r="D16" s="568">
        <v>0</v>
      </c>
      <c r="E16" s="568">
        <v>0</v>
      </c>
      <c r="F16" s="568">
        <v>274302.15000000002</v>
      </c>
      <c r="G16" s="568">
        <v>-1677321.37</v>
      </c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0"/>
      <c r="AN16" s="530"/>
      <c r="AO16" s="530"/>
      <c r="AP16" s="530"/>
      <c r="AQ16" s="530"/>
    </row>
    <row r="17" spans="1:43" x14ac:dyDescent="0.25">
      <c r="A17" s="8" t="s">
        <v>13</v>
      </c>
      <c r="B17" s="568">
        <v>-436701979.56999993</v>
      </c>
      <c r="C17" s="568">
        <v>-933860406.73000002</v>
      </c>
      <c r="D17" s="568">
        <v>0</v>
      </c>
      <c r="E17" s="568">
        <v>-360320708.74000001</v>
      </c>
      <c r="F17" s="568">
        <v>-69759667.859999999</v>
      </c>
      <c r="G17" s="568">
        <v>-1800642762.8999999</v>
      </c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0"/>
      <c r="AQ17" s="530"/>
    </row>
    <row r="18" spans="1:43" x14ac:dyDescent="0.25">
      <c r="A18" s="8" t="s">
        <v>314</v>
      </c>
      <c r="B18" s="568">
        <v>656289.50999999989</v>
      </c>
      <c r="C18" s="568">
        <v>16286</v>
      </c>
      <c r="D18" s="568">
        <v>0</v>
      </c>
      <c r="E18" s="568">
        <v>-21600000</v>
      </c>
      <c r="F18" s="568">
        <v>0</v>
      </c>
      <c r="G18" s="568">
        <v>-20927424.489999998</v>
      </c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86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0"/>
      <c r="AK18" s="530"/>
      <c r="AL18" s="530"/>
      <c r="AM18" s="530"/>
      <c r="AN18" s="530"/>
      <c r="AO18" s="530"/>
      <c r="AP18" s="530"/>
      <c r="AQ18" s="530"/>
    </row>
    <row r="19" spans="1:43" x14ac:dyDescent="0.25">
      <c r="A19" s="8" t="s">
        <v>14</v>
      </c>
      <c r="B19" s="568">
        <v>-19000205.98</v>
      </c>
      <c r="C19" s="568">
        <v>-5958797.6600000001</v>
      </c>
      <c r="D19" s="568">
        <v>0</v>
      </c>
      <c r="E19" s="568">
        <v>-3888849.0500000003</v>
      </c>
      <c r="F19" s="568">
        <v>-2656727.21</v>
      </c>
      <c r="G19" s="568">
        <v>-31504579.900000002</v>
      </c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86"/>
      <c r="X19" s="530"/>
      <c r="Y19" s="530"/>
      <c r="Z19" s="530"/>
      <c r="AA19" s="530"/>
      <c r="AB19" s="530"/>
      <c r="AC19" s="530"/>
      <c r="AD19" s="530"/>
      <c r="AE19" s="530"/>
      <c r="AF19" s="530"/>
      <c r="AG19" s="530"/>
      <c r="AH19" s="530"/>
      <c r="AI19" s="530"/>
      <c r="AJ19" s="530"/>
      <c r="AK19" s="530"/>
      <c r="AL19" s="530"/>
      <c r="AM19" s="530"/>
      <c r="AN19" s="530"/>
      <c r="AO19" s="530"/>
      <c r="AP19" s="530"/>
      <c r="AQ19" s="530"/>
    </row>
    <row r="20" spans="1:43" x14ac:dyDescent="0.25">
      <c r="A20" s="8" t="s">
        <v>15</v>
      </c>
      <c r="B20" s="569">
        <v>6679392.3700000001</v>
      </c>
      <c r="C20" s="569">
        <v>2538410.64</v>
      </c>
      <c r="D20" s="569">
        <v>0</v>
      </c>
      <c r="E20" s="569">
        <v>209870.44</v>
      </c>
      <c r="F20" s="569">
        <v>487908.97000000009</v>
      </c>
      <c r="G20" s="569">
        <v>9915582.4199999999</v>
      </c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86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0"/>
      <c r="AJ20" s="530"/>
      <c r="AK20" s="530"/>
      <c r="AL20" s="530"/>
      <c r="AM20" s="530"/>
      <c r="AN20" s="530"/>
      <c r="AO20" s="530"/>
      <c r="AP20" s="530"/>
      <c r="AQ20" s="530"/>
    </row>
    <row r="21" spans="1:43" ht="13.8" thickBot="1" x14ac:dyDescent="0.3">
      <c r="A21" s="8" t="s">
        <v>339</v>
      </c>
      <c r="B21" s="569">
        <v>0</v>
      </c>
      <c r="C21" s="569">
        <v>0</v>
      </c>
      <c r="D21" s="569">
        <v>0</v>
      </c>
      <c r="E21" s="569">
        <v>0</v>
      </c>
      <c r="F21" s="569">
        <v>0</v>
      </c>
      <c r="G21" s="568">
        <v>0</v>
      </c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86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0"/>
      <c r="AN21" s="530"/>
      <c r="AO21" s="530"/>
      <c r="AP21" s="530"/>
      <c r="AQ21" s="530"/>
    </row>
    <row r="22" spans="1:43" ht="14.4" thickTop="1" thickBot="1" x14ac:dyDescent="0.3">
      <c r="A22" s="219" t="s">
        <v>433</v>
      </c>
      <c r="B22" s="587">
        <v>5320148497.7210007</v>
      </c>
      <c r="C22" s="587">
        <v>340466553.77662081</v>
      </c>
      <c r="D22" s="587">
        <v>2121372101.44732</v>
      </c>
      <c r="E22" s="587">
        <v>99192687.475243106</v>
      </c>
      <c r="F22" s="587">
        <v>400371682.92296499</v>
      </c>
      <c r="G22" s="587">
        <v>8280873022.0631542</v>
      </c>
      <c r="H22" s="74"/>
      <c r="I22" s="74"/>
      <c r="J22" s="74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30"/>
      <c r="AJ22" s="530"/>
      <c r="AK22" s="530"/>
      <c r="AL22" s="530"/>
      <c r="AM22" s="530"/>
      <c r="AN22" s="530"/>
      <c r="AO22" s="530"/>
      <c r="AP22" s="530"/>
      <c r="AQ22" s="530"/>
    </row>
    <row r="23" spans="1:43" ht="13.8" thickTop="1" x14ac:dyDescent="0.25">
      <c r="B23" s="569"/>
      <c r="C23" s="569"/>
      <c r="D23" s="569"/>
      <c r="E23" s="569"/>
      <c r="F23" s="569"/>
      <c r="G23" s="569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0"/>
      <c r="AN23" s="530"/>
      <c r="AO23" s="530"/>
      <c r="AP23" s="530"/>
      <c r="AQ23" s="530"/>
    </row>
    <row r="24" spans="1:43" x14ac:dyDescent="0.25">
      <c r="A24" s="31" t="s">
        <v>27</v>
      </c>
      <c r="B24" s="588">
        <v>597781385.39999998</v>
      </c>
      <c r="C24" s="588">
        <v>1123183371.6600001</v>
      </c>
      <c r="D24" s="588">
        <v>0</v>
      </c>
      <c r="E24" s="588">
        <v>398531294.05000001</v>
      </c>
      <c r="F24" s="588">
        <v>60824653.640000001</v>
      </c>
      <c r="G24" s="588">
        <v>2180320704.75</v>
      </c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/>
      <c r="AC24" s="530"/>
      <c r="AD24" s="530"/>
      <c r="AE24" s="530"/>
      <c r="AF24" s="530"/>
      <c r="AG24" s="530"/>
      <c r="AH24" s="530"/>
      <c r="AI24" s="530"/>
      <c r="AJ24" s="530"/>
      <c r="AK24" s="530"/>
      <c r="AL24" s="530"/>
      <c r="AM24" s="530"/>
      <c r="AN24" s="530"/>
      <c r="AO24" s="530"/>
      <c r="AP24" s="530"/>
      <c r="AQ24" s="530"/>
    </row>
    <row r="25" spans="1:43" hidden="1" x14ac:dyDescent="0.25">
      <c r="B25" s="568"/>
      <c r="C25" s="568"/>
      <c r="D25" s="568"/>
      <c r="E25" s="568"/>
      <c r="F25" s="568"/>
      <c r="G25" s="568"/>
      <c r="I25" s="530"/>
      <c r="J25" s="530"/>
      <c r="K25" s="530"/>
      <c r="L25" s="530"/>
      <c r="M25" s="530"/>
      <c r="N25" s="530"/>
      <c r="O25" s="589"/>
      <c r="P25" s="589"/>
      <c r="Q25" s="589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0"/>
      <c r="AQ25" s="530"/>
    </row>
    <row r="26" spans="1:43" hidden="1" x14ac:dyDescent="0.25">
      <c r="B26" s="568">
        <v>2972874.82</v>
      </c>
      <c r="C26" s="568">
        <v>-1774027.36</v>
      </c>
      <c r="D26" s="568"/>
      <c r="E26" s="568">
        <v>-222069.15</v>
      </c>
      <c r="F26" s="568">
        <v>-976778.31</v>
      </c>
      <c r="G26" s="568">
        <v>0</v>
      </c>
      <c r="I26" s="530"/>
      <c r="J26" s="530"/>
      <c r="K26" s="530"/>
      <c r="L26" s="530"/>
      <c r="M26" s="530"/>
      <c r="N26" s="530"/>
      <c r="O26" s="531"/>
      <c r="P26" s="531"/>
      <c r="Q26" s="531"/>
      <c r="R26" s="531"/>
      <c r="S26" s="531"/>
      <c r="T26" s="531"/>
      <c r="U26" s="530"/>
      <c r="V26" s="530"/>
      <c r="W26" s="530"/>
      <c r="X26" s="530"/>
      <c r="Y26" s="530"/>
      <c r="Z26" s="530"/>
      <c r="AA26" s="530"/>
      <c r="AB26" s="530"/>
      <c r="AC26" s="530"/>
      <c r="AD26" s="530"/>
      <c r="AE26" s="530"/>
      <c r="AF26" s="530"/>
      <c r="AG26" s="530"/>
      <c r="AH26" s="530"/>
      <c r="AI26" s="530"/>
      <c r="AJ26" s="530"/>
      <c r="AK26" s="530"/>
      <c r="AL26" s="530"/>
      <c r="AM26" s="530"/>
      <c r="AN26" s="530"/>
      <c r="AO26" s="530"/>
      <c r="AP26" s="530"/>
      <c r="AQ26" s="530"/>
    </row>
    <row r="27" spans="1:43" x14ac:dyDescent="0.25">
      <c r="B27" s="568"/>
      <c r="C27" s="568"/>
      <c r="D27" s="568"/>
      <c r="E27" s="568"/>
      <c r="F27" s="568"/>
      <c r="G27" s="568"/>
      <c r="I27" s="530"/>
      <c r="J27" s="530"/>
      <c r="K27" s="530"/>
      <c r="L27" s="530"/>
      <c r="M27" s="530"/>
      <c r="N27" s="530"/>
      <c r="O27" s="531"/>
      <c r="P27" s="531"/>
      <c r="Q27" s="531"/>
      <c r="R27" s="531"/>
      <c r="S27" s="531"/>
      <c r="T27" s="531"/>
      <c r="U27" s="530"/>
      <c r="V27" s="530"/>
      <c r="W27" s="530"/>
      <c r="X27" s="530"/>
      <c r="Y27" s="530"/>
      <c r="Z27" s="530"/>
      <c r="AA27" s="530"/>
      <c r="AB27" s="530"/>
      <c r="AC27" s="530"/>
      <c r="AD27" s="530"/>
      <c r="AE27" s="530"/>
      <c r="AF27" s="530"/>
      <c r="AG27" s="530"/>
      <c r="AH27" s="530"/>
      <c r="AI27" s="530"/>
      <c r="AJ27" s="530"/>
      <c r="AK27" s="530"/>
      <c r="AL27" s="530"/>
      <c r="AM27" s="530"/>
      <c r="AN27" s="530"/>
      <c r="AO27" s="530"/>
      <c r="AP27" s="530"/>
      <c r="AQ27" s="530"/>
    </row>
    <row r="28" spans="1:43" x14ac:dyDescent="0.25">
      <c r="A28" s="507" t="s">
        <v>434</v>
      </c>
      <c r="B28" s="568"/>
      <c r="C28" s="568"/>
      <c r="D28" s="568"/>
      <c r="E28" s="568"/>
      <c r="F28" s="568"/>
      <c r="G28" s="568"/>
      <c r="I28" s="530"/>
      <c r="J28" s="530"/>
      <c r="K28" s="530"/>
      <c r="U28" s="530"/>
      <c r="V28" s="530"/>
      <c r="W28" s="530"/>
      <c r="X28" s="530"/>
      <c r="Y28" s="530"/>
      <c r="Z28" s="530"/>
      <c r="AA28" s="530"/>
      <c r="AB28" s="530"/>
      <c r="AC28" s="530"/>
      <c r="AD28" s="530"/>
      <c r="AE28" s="530"/>
      <c r="AF28" s="530"/>
      <c r="AG28" s="530"/>
      <c r="AH28" s="530"/>
      <c r="AI28" s="530"/>
      <c r="AJ28" s="530"/>
      <c r="AK28" s="530"/>
      <c r="AL28" s="530"/>
      <c r="AM28" s="530"/>
      <c r="AN28" s="530"/>
      <c r="AO28" s="530"/>
      <c r="AP28" s="530"/>
      <c r="AQ28" s="530"/>
    </row>
    <row r="29" spans="1:43" x14ac:dyDescent="0.25">
      <c r="A29" s="8" t="s">
        <v>8</v>
      </c>
      <c r="B29" s="568">
        <v>610308893.04999995</v>
      </c>
      <c r="C29" s="568">
        <v>1158628942.72</v>
      </c>
      <c r="D29" s="568">
        <v>0</v>
      </c>
      <c r="E29" s="568">
        <v>423160296.70000005</v>
      </c>
      <c r="F29" s="568">
        <v>68813387.129999995</v>
      </c>
      <c r="G29" s="568">
        <v>2260911519.6000004</v>
      </c>
      <c r="I29" s="590"/>
      <c r="J29" s="591"/>
      <c r="K29" s="530"/>
      <c r="L29" s="592"/>
      <c r="M29" s="592"/>
      <c r="N29" s="592"/>
      <c r="O29" s="591"/>
      <c r="P29" s="591"/>
      <c r="Q29" s="591"/>
      <c r="R29" s="591"/>
      <c r="S29" s="591"/>
      <c r="T29" s="593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0"/>
      <c r="AF29" s="530"/>
      <c r="AG29" s="530"/>
      <c r="AH29" s="530"/>
      <c r="AI29" s="530"/>
      <c r="AJ29" s="530"/>
      <c r="AK29" s="530"/>
      <c r="AL29" s="530"/>
      <c r="AM29" s="530"/>
      <c r="AN29" s="530"/>
      <c r="AO29" s="530"/>
      <c r="AP29" s="530"/>
      <c r="AQ29" s="530"/>
    </row>
    <row r="30" spans="1:43" x14ac:dyDescent="0.25">
      <c r="A30" s="8" t="s">
        <v>9</v>
      </c>
      <c r="B30" s="568">
        <v>742241.73</v>
      </c>
      <c r="C30" s="568">
        <v>1410133.67</v>
      </c>
      <c r="D30" s="568">
        <v>0</v>
      </c>
      <c r="E30" s="568">
        <v>741432.11</v>
      </c>
      <c r="F30" s="568">
        <v>84275.209999999992</v>
      </c>
      <c r="G30" s="568">
        <v>2978082.7199999997</v>
      </c>
      <c r="I30" s="83"/>
      <c r="J30" s="591"/>
      <c r="K30" s="530"/>
      <c r="L30" s="592"/>
      <c r="M30" s="592"/>
      <c r="N30" s="592"/>
      <c r="O30" s="591"/>
      <c r="P30" s="591"/>
      <c r="Q30" s="591"/>
      <c r="R30" s="591"/>
      <c r="S30" s="591"/>
      <c r="T30" s="594"/>
      <c r="U30" s="530"/>
      <c r="V30" s="530"/>
      <c r="W30" s="530"/>
      <c r="X30" s="530"/>
      <c r="Y30" s="530"/>
      <c r="Z30" s="530"/>
      <c r="AA30" s="530"/>
      <c r="AB30" s="530"/>
      <c r="AC30" s="530"/>
      <c r="AD30" s="530"/>
      <c r="AE30" s="530"/>
      <c r="AF30" s="530"/>
      <c r="AG30" s="530"/>
      <c r="AH30" s="530"/>
      <c r="AI30" s="530"/>
      <c r="AJ30" s="530"/>
      <c r="AK30" s="530"/>
      <c r="AL30" s="530"/>
      <c r="AM30" s="530"/>
      <c r="AN30" s="530"/>
      <c r="AO30" s="530"/>
      <c r="AP30" s="530"/>
      <c r="AQ30" s="530"/>
    </row>
    <row r="31" spans="1:43" x14ac:dyDescent="0.25">
      <c r="A31" s="8" t="s">
        <v>10</v>
      </c>
      <c r="B31" s="568">
        <v>408776.25</v>
      </c>
      <c r="C31" s="568">
        <v>775917.87000000011</v>
      </c>
      <c r="D31" s="568">
        <v>0</v>
      </c>
      <c r="E31" s="568">
        <v>283266.78999999998</v>
      </c>
      <c r="F31" s="568">
        <v>46025.18</v>
      </c>
      <c r="G31" s="568">
        <v>1513986.09</v>
      </c>
      <c r="I31" s="590"/>
      <c r="J31" s="591"/>
      <c r="K31" s="530"/>
      <c r="L31" s="592"/>
      <c r="M31" s="592"/>
      <c r="N31" s="592"/>
      <c r="O31" s="591"/>
      <c r="P31" s="591"/>
      <c r="Q31" s="591"/>
      <c r="R31" s="591"/>
      <c r="S31" s="591"/>
      <c r="T31" s="594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0"/>
      <c r="AI31" s="530"/>
      <c r="AJ31" s="530"/>
      <c r="AK31" s="530"/>
      <c r="AL31" s="530"/>
      <c r="AM31" s="530"/>
      <c r="AN31" s="530"/>
      <c r="AO31" s="530"/>
      <c r="AP31" s="530"/>
      <c r="AQ31" s="530"/>
    </row>
    <row r="32" spans="1:43" x14ac:dyDescent="0.25">
      <c r="A32" s="8" t="s">
        <v>344</v>
      </c>
      <c r="B32" s="568">
        <v>0</v>
      </c>
      <c r="C32" s="568">
        <v>-204172153</v>
      </c>
      <c r="D32" s="568">
        <v>204172153</v>
      </c>
      <c r="E32" s="568">
        <v>0</v>
      </c>
      <c r="F32" s="568">
        <v>0</v>
      </c>
      <c r="G32" s="568">
        <v>0</v>
      </c>
      <c r="I32" s="590"/>
      <c r="J32" s="591"/>
      <c r="K32" s="530"/>
      <c r="L32" s="592"/>
      <c r="M32" s="592"/>
      <c r="N32" s="592"/>
      <c r="O32" s="591"/>
      <c r="P32" s="591"/>
      <c r="Q32" s="591"/>
      <c r="R32" s="591"/>
      <c r="S32" s="591"/>
      <c r="T32" s="594"/>
      <c r="U32" s="530"/>
      <c r="V32" s="530"/>
      <c r="W32" s="530"/>
      <c r="X32" s="530"/>
      <c r="Y32" s="530"/>
      <c r="Z32" s="530"/>
      <c r="AA32" s="530"/>
      <c r="AB32" s="530"/>
      <c r="AC32" s="530"/>
      <c r="AD32" s="530"/>
      <c r="AE32" s="530"/>
      <c r="AF32" s="530"/>
      <c r="AG32" s="530"/>
      <c r="AH32" s="530"/>
      <c r="AI32" s="530"/>
      <c r="AJ32" s="530"/>
      <c r="AK32" s="530"/>
      <c r="AL32" s="530"/>
      <c r="AM32" s="530"/>
      <c r="AN32" s="530"/>
      <c r="AO32" s="530"/>
      <c r="AP32" s="530"/>
      <c r="AQ32" s="530"/>
    </row>
    <row r="33" spans="1:43" x14ac:dyDescent="0.25">
      <c r="A33" s="8" t="s">
        <v>11</v>
      </c>
      <c r="B33" s="568">
        <v>1377.83</v>
      </c>
      <c r="C33" s="568">
        <v>2615.33</v>
      </c>
      <c r="D33" s="568">
        <v>0</v>
      </c>
      <c r="E33" s="568">
        <v>954.79</v>
      </c>
      <c r="F33" s="568">
        <v>155.13</v>
      </c>
      <c r="G33" s="568">
        <v>5103.08</v>
      </c>
      <c r="I33" s="590"/>
      <c r="J33" s="591"/>
      <c r="K33" s="530"/>
      <c r="L33" s="592"/>
      <c r="M33" s="592"/>
      <c r="N33" s="592"/>
      <c r="O33" s="591"/>
      <c r="P33" s="591"/>
      <c r="Q33" s="591"/>
      <c r="R33" s="591"/>
      <c r="S33" s="591"/>
      <c r="T33" s="593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  <c r="AH33" s="530"/>
      <c r="AI33" s="530"/>
      <c r="AJ33" s="530"/>
      <c r="AK33" s="530"/>
      <c r="AL33" s="530"/>
      <c r="AM33" s="530"/>
      <c r="AN33" s="530"/>
      <c r="AO33" s="530"/>
      <c r="AP33" s="530"/>
      <c r="AQ33" s="530"/>
    </row>
    <row r="34" spans="1:43" x14ac:dyDescent="0.25">
      <c r="A34" s="8" t="s">
        <v>12</v>
      </c>
      <c r="B34" s="568">
        <v>-3102532.9</v>
      </c>
      <c r="C34" s="568">
        <v>-5923072.5699999994</v>
      </c>
      <c r="D34" s="568">
        <v>0</v>
      </c>
      <c r="E34" s="568">
        <v>-2375934.61</v>
      </c>
      <c r="F34" s="568">
        <v>-349582.45</v>
      </c>
      <c r="G34" s="568">
        <v>-11751122.529999997</v>
      </c>
      <c r="I34" s="590"/>
      <c r="J34" s="591"/>
      <c r="K34" s="530"/>
      <c r="L34" s="592"/>
      <c r="M34" s="592"/>
      <c r="N34" s="592"/>
      <c r="O34" s="591"/>
      <c r="P34" s="591"/>
      <c r="Q34" s="591"/>
      <c r="R34" s="591"/>
      <c r="S34" s="591"/>
      <c r="T34" s="593"/>
      <c r="U34" s="530"/>
      <c r="V34" s="530"/>
      <c r="W34" s="530"/>
      <c r="X34" s="530"/>
      <c r="Y34" s="530"/>
      <c r="Z34" s="530"/>
      <c r="AA34" s="530"/>
      <c r="AB34" s="530"/>
      <c r="AC34" s="530"/>
      <c r="AD34" s="530"/>
      <c r="AE34" s="530"/>
      <c r="AF34" s="530"/>
      <c r="AG34" s="530"/>
      <c r="AH34" s="530"/>
      <c r="AI34" s="530"/>
      <c r="AJ34" s="530"/>
      <c r="AK34" s="530"/>
      <c r="AL34" s="530"/>
      <c r="AM34" s="530"/>
      <c r="AN34" s="530"/>
      <c r="AO34" s="530"/>
      <c r="AP34" s="530"/>
      <c r="AQ34" s="530"/>
    </row>
    <row r="35" spans="1:43" x14ac:dyDescent="0.25">
      <c r="A35" s="8" t="s">
        <v>340</v>
      </c>
      <c r="B35" s="568">
        <v>-853998.16000000015</v>
      </c>
      <c r="C35" s="568">
        <v>0</v>
      </c>
      <c r="D35" s="568">
        <v>0</v>
      </c>
      <c r="E35" s="568">
        <v>0</v>
      </c>
      <c r="F35" s="568">
        <v>0</v>
      </c>
      <c r="G35" s="568">
        <v>-853998.16000000015</v>
      </c>
      <c r="I35" s="590"/>
      <c r="J35" s="591"/>
      <c r="K35" s="530"/>
      <c r="M35" s="592"/>
      <c r="N35" s="592"/>
      <c r="O35" s="591"/>
      <c r="P35" s="591"/>
      <c r="Q35" s="591"/>
      <c r="R35" s="591"/>
      <c r="S35" s="591"/>
      <c r="T35" s="593"/>
      <c r="U35" s="530"/>
      <c r="V35" s="530"/>
      <c r="W35" s="530"/>
      <c r="X35" s="530"/>
      <c r="Y35" s="530"/>
      <c r="Z35" s="530"/>
      <c r="AA35" s="530"/>
      <c r="AB35" s="530"/>
      <c r="AC35" s="530"/>
      <c r="AD35" s="530"/>
      <c r="AE35" s="530"/>
      <c r="AF35" s="530"/>
      <c r="AG35" s="530"/>
      <c r="AH35" s="530"/>
      <c r="AI35" s="530"/>
      <c r="AJ35" s="530"/>
      <c r="AK35" s="530"/>
      <c r="AL35" s="530"/>
      <c r="AM35" s="530"/>
      <c r="AN35" s="530"/>
      <c r="AO35" s="530"/>
      <c r="AP35" s="530"/>
      <c r="AQ35" s="530"/>
    </row>
    <row r="36" spans="1:43" x14ac:dyDescent="0.25">
      <c r="A36" s="8" t="s">
        <v>13</v>
      </c>
      <c r="B36" s="568">
        <v>-473330158.89999998</v>
      </c>
      <c r="C36" s="568">
        <v>-920796908</v>
      </c>
      <c r="D36" s="568">
        <v>0</v>
      </c>
      <c r="E36" s="568">
        <v>-381998666</v>
      </c>
      <c r="F36" s="568">
        <v>-61442925.709999993</v>
      </c>
      <c r="G36" s="568">
        <v>-1837568658.6100001</v>
      </c>
      <c r="I36" s="590"/>
      <c r="J36" s="591"/>
      <c r="K36" s="530"/>
      <c r="L36" s="8"/>
      <c r="M36" s="592"/>
      <c r="N36" s="592"/>
      <c r="O36" s="591"/>
      <c r="P36" s="591"/>
      <c r="Q36" s="591"/>
      <c r="R36" s="591"/>
      <c r="S36" s="591"/>
      <c r="T36" s="593"/>
      <c r="U36" s="530"/>
      <c r="V36" s="530"/>
      <c r="W36" s="530"/>
      <c r="X36" s="530"/>
      <c r="Y36" s="530"/>
      <c r="Z36" s="530"/>
      <c r="AA36" s="530"/>
      <c r="AB36" s="530"/>
      <c r="AC36" s="530"/>
      <c r="AD36" s="530"/>
      <c r="AE36" s="530"/>
      <c r="AF36" s="530"/>
      <c r="AG36" s="530"/>
      <c r="AH36" s="530"/>
      <c r="AI36" s="530"/>
      <c r="AJ36" s="530"/>
      <c r="AK36" s="530"/>
      <c r="AL36" s="530"/>
      <c r="AM36" s="530"/>
      <c r="AN36" s="530"/>
      <c r="AO36" s="530"/>
      <c r="AP36" s="530"/>
      <c r="AQ36" s="530"/>
    </row>
    <row r="37" spans="1:43" x14ac:dyDescent="0.25">
      <c r="A37" s="8" t="s">
        <v>314</v>
      </c>
      <c r="B37" s="568">
        <v>350.65000000000146</v>
      </c>
      <c r="C37" s="568">
        <v>-93145670</v>
      </c>
      <c r="D37" s="568">
        <v>0</v>
      </c>
      <c r="E37" s="568">
        <v>26405058</v>
      </c>
      <c r="F37" s="568">
        <v>0</v>
      </c>
      <c r="G37" s="568">
        <v>-66740261.349999994</v>
      </c>
      <c r="I37" s="83"/>
      <c r="J37" s="591"/>
      <c r="K37" s="530"/>
      <c r="L37" s="8"/>
      <c r="M37" s="592"/>
      <c r="N37" s="592"/>
      <c r="O37" s="591"/>
      <c r="P37" s="591"/>
      <c r="Q37" s="591"/>
      <c r="R37" s="591"/>
      <c r="S37" s="591"/>
      <c r="T37" s="594"/>
      <c r="U37" s="530"/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0"/>
      <c r="AG37" s="530"/>
      <c r="AH37" s="530"/>
      <c r="AI37" s="530"/>
      <c r="AJ37" s="530"/>
      <c r="AK37" s="530"/>
      <c r="AL37" s="530"/>
      <c r="AM37" s="530"/>
      <c r="AN37" s="530"/>
      <c r="AO37" s="530"/>
      <c r="AP37" s="530"/>
      <c r="AQ37" s="530"/>
    </row>
    <row r="38" spans="1:43" x14ac:dyDescent="0.25">
      <c r="A38" s="8" t="s">
        <v>14</v>
      </c>
      <c r="B38" s="568">
        <v>-19336812.240000002</v>
      </c>
      <c r="C38" s="568">
        <v>-6379173.1299999999</v>
      </c>
      <c r="D38" s="568">
        <v>0</v>
      </c>
      <c r="E38" s="568">
        <v>-4016780.0599999996</v>
      </c>
      <c r="F38" s="568">
        <v>-2630146.4900000002</v>
      </c>
      <c r="G38" s="568">
        <v>-32362911.920000002</v>
      </c>
      <c r="I38" s="83"/>
      <c r="J38" s="591"/>
      <c r="K38" s="530"/>
      <c r="L38" s="8"/>
      <c r="M38" s="592"/>
      <c r="N38" s="592"/>
      <c r="O38" s="591"/>
      <c r="P38" s="591"/>
      <c r="Q38" s="591"/>
      <c r="R38" s="591"/>
      <c r="S38" s="591"/>
      <c r="T38" s="594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  <c r="AH38" s="530"/>
      <c r="AI38" s="530"/>
      <c r="AJ38" s="530"/>
      <c r="AK38" s="530"/>
      <c r="AL38" s="530"/>
      <c r="AM38" s="530"/>
      <c r="AN38" s="530"/>
      <c r="AO38" s="530"/>
      <c r="AP38" s="530"/>
      <c r="AQ38" s="530"/>
    </row>
    <row r="39" spans="1:43" x14ac:dyDescent="0.25">
      <c r="A39" s="8" t="s">
        <v>15</v>
      </c>
      <c r="B39" s="568">
        <v>6518778.629999999</v>
      </c>
      <c r="C39" s="568">
        <v>2760109.81</v>
      </c>
      <c r="D39" s="568">
        <v>0</v>
      </c>
      <c r="E39" s="568">
        <v>144677.92000000001</v>
      </c>
      <c r="F39" s="568">
        <v>511927.48000000004</v>
      </c>
      <c r="G39" s="568">
        <v>9935493.8399999999</v>
      </c>
      <c r="H39" s="68"/>
      <c r="I39" s="590"/>
      <c r="J39" s="591"/>
      <c r="K39" s="530"/>
      <c r="L39" s="8"/>
      <c r="M39" s="592"/>
      <c r="N39" s="592"/>
      <c r="O39" s="591"/>
      <c r="P39" s="591"/>
      <c r="Q39" s="591"/>
      <c r="R39" s="591"/>
      <c r="S39" s="591"/>
      <c r="T39" s="593"/>
      <c r="U39" s="530"/>
      <c r="V39" s="530"/>
      <c r="W39" s="530"/>
      <c r="X39" s="530"/>
      <c r="Y39" s="530"/>
      <c r="Z39" s="530"/>
      <c r="AA39" s="530"/>
      <c r="AB39" s="530"/>
      <c r="AC39" s="530"/>
      <c r="AD39" s="530"/>
      <c r="AE39" s="530"/>
      <c r="AF39" s="530"/>
      <c r="AG39" s="530"/>
      <c r="AH39" s="530"/>
      <c r="AI39" s="530"/>
      <c r="AJ39" s="530"/>
      <c r="AK39" s="530"/>
      <c r="AL39" s="530"/>
      <c r="AM39" s="530"/>
      <c r="AN39" s="530"/>
      <c r="AO39" s="530"/>
      <c r="AP39" s="530"/>
      <c r="AQ39" s="530"/>
    </row>
    <row r="40" spans="1:43" ht="13.8" thickBot="1" x14ac:dyDescent="0.3">
      <c r="A40" s="8" t="s">
        <v>339</v>
      </c>
      <c r="B40" s="568">
        <v>0</v>
      </c>
      <c r="C40" s="568">
        <v>0</v>
      </c>
      <c r="D40" s="568"/>
      <c r="E40" s="568">
        <v>0</v>
      </c>
      <c r="F40" s="568">
        <v>0</v>
      </c>
      <c r="G40" s="568">
        <v>0</v>
      </c>
      <c r="I40" s="590"/>
      <c r="J40" s="591"/>
      <c r="K40" s="530"/>
      <c r="L40" s="8"/>
      <c r="M40" s="592"/>
      <c r="N40" s="592"/>
      <c r="O40" s="591"/>
      <c r="P40" s="591"/>
      <c r="Q40" s="591"/>
      <c r="R40" s="591"/>
      <c r="S40" s="591"/>
      <c r="T40" s="593"/>
      <c r="U40" s="530"/>
      <c r="V40" s="530"/>
      <c r="W40" s="530"/>
      <c r="X40" s="530"/>
      <c r="Y40" s="530"/>
      <c r="Z40" s="530"/>
      <c r="AA40" s="530"/>
      <c r="AB40" s="530"/>
      <c r="AC40" s="530"/>
      <c r="AD40" s="530"/>
      <c r="AE40" s="530"/>
      <c r="AF40" s="530"/>
      <c r="AG40" s="530"/>
      <c r="AH40" s="530"/>
      <c r="AI40" s="530"/>
      <c r="AJ40" s="530"/>
      <c r="AK40" s="530"/>
      <c r="AL40" s="530"/>
      <c r="AM40" s="530"/>
      <c r="AN40" s="530"/>
      <c r="AO40" s="530"/>
      <c r="AP40" s="530"/>
      <c r="AQ40" s="530"/>
    </row>
    <row r="41" spans="1:43" ht="14.4" thickTop="1" thickBot="1" x14ac:dyDescent="0.3">
      <c r="A41" s="219" t="s">
        <v>435</v>
      </c>
      <c r="B41" s="587">
        <v>5441505413.6610012</v>
      </c>
      <c r="C41" s="587">
        <v>273627296.47662085</v>
      </c>
      <c r="D41" s="587">
        <v>2325544254.44732</v>
      </c>
      <c r="E41" s="587">
        <v>161536993.11524317</v>
      </c>
      <c r="F41" s="587">
        <v>405404798.40296501</v>
      </c>
      <c r="G41" s="587">
        <v>8606940254.8231525</v>
      </c>
      <c r="H41" s="74"/>
      <c r="I41" s="74"/>
      <c r="J41" s="74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  <c r="AJ41" s="530"/>
      <c r="AK41" s="530"/>
      <c r="AL41" s="530"/>
      <c r="AM41" s="530"/>
      <c r="AN41" s="530"/>
      <c r="AO41" s="530"/>
      <c r="AP41" s="530"/>
      <c r="AQ41" s="530"/>
    </row>
    <row r="42" spans="1:43" ht="13.8" thickTop="1" x14ac:dyDescent="0.25">
      <c r="A42" s="31"/>
      <c r="B42" s="570"/>
      <c r="C42" s="570"/>
      <c r="D42" s="570"/>
      <c r="E42" s="570"/>
      <c r="F42" s="570"/>
      <c r="G42" s="570"/>
      <c r="H42" s="74"/>
      <c r="I42" s="595"/>
      <c r="J42" s="530"/>
      <c r="K42" s="530"/>
      <c r="L42" s="530"/>
      <c r="M42" s="530"/>
      <c r="N42" s="530"/>
      <c r="O42" s="591"/>
      <c r="P42" s="591"/>
      <c r="Q42" s="591"/>
      <c r="R42" s="591"/>
      <c r="S42" s="591"/>
      <c r="T42" s="591"/>
      <c r="U42" s="530"/>
      <c r="V42" s="530"/>
      <c r="W42" s="530"/>
      <c r="X42" s="530"/>
      <c r="Y42" s="530"/>
      <c r="Z42" s="530"/>
      <c r="AA42" s="530"/>
      <c r="AB42" s="530"/>
      <c r="AC42" s="530"/>
      <c r="AD42" s="530"/>
      <c r="AE42" s="530"/>
      <c r="AF42" s="530"/>
      <c r="AG42" s="530"/>
      <c r="AH42" s="530"/>
      <c r="AI42" s="530"/>
      <c r="AJ42" s="530"/>
      <c r="AK42" s="530"/>
      <c r="AL42" s="530"/>
      <c r="AM42" s="530"/>
      <c r="AN42" s="530"/>
      <c r="AO42" s="530"/>
      <c r="AP42" s="530"/>
      <c r="AQ42" s="530"/>
    </row>
    <row r="43" spans="1:43" hidden="1" x14ac:dyDescent="0.25">
      <c r="A43" s="31"/>
      <c r="B43" s="570"/>
      <c r="C43" s="570"/>
      <c r="D43" s="570"/>
      <c r="E43" s="570"/>
      <c r="F43" s="570"/>
      <c r="G43" s="570"/>
      <c r="H43" s="74"/>
      <c r="I43" s="530"/>
      <c r="J43" s="83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30"/>
      <c r="AE43" s="530"/>
      <c r="AF43" s="530"/>
      <c r="AG43" s="530"/>
      <c r="AH43" s="530"/>
      <c r="AI43" s="530"/>
      <c r="AJ43" s="530"/>
      <c r="AK43" s="530"/>
      <c r="AL43" s="530"/>
      <c r="AM43" s="530"/>
      <c r="AN43" s="530"/>
      <c r="AO43" s="530"/>
      <c r="AP43" s="530"/>
      <c r="AQ43" s="530"/>
    </row>
    <row r="44" spans="1:43" x14ac:dyDescent="0.25">
      <c r="A44" s="31"/>
      <c r="B44" s="570"/>
      <c r="C44" s="570"/>
      <c r="D44" s="570"/>
      <c r="E44" s="570"/>
      <c r="F44" s="570"/>
      <c r="G44" s="570"/>
      <c r="H44" s="67"/>
      <c r="I44" s="530"/>
      <c r="J44" s="530"/>
      <c r="K44" s="530"/>
      <c r="L44" s="530"/>
      <c r="M44" s="530"/>
      <c r="N44" s="530"/>
      <c r="O44" s="530"/>
      <c r="P44" s="530"/>
      <c r="Q44" s="530"/>
      <c r="R44" s="530"/>
      <c r="S44" s="530"/>
      <c r="T44" s="596"/>
      <c r="U44" s="530"/>
      <c r="V44" s="530"/>
      <c r="W44" s="530"/>
      <c r="X44" s="530"/>
      <c r="Y44" s="530"/>
      <c r="Z44" s="530"/>
      <c r="AA44" s="530"/>
      <c r="AB44" s="530"/>
      <c r="AC44" s="530"/>
      <c r="AD44" s="530"/>
      <c r="AE44" s="530"/>
      <c r="AF44" s="530"/>
      <c r="AG44" s="530"/>
      <c r="AH44" s="530"/>
      <c r="AI44" s="530"/>
      <c r="AJ44" s="530"/>
      <c r="AK44" s="530"/>
      <c r="AL44" s="530"/>
      <c r="AM44" s="530"/>
      <c r="AN44" s="530"/>
      <c r="AO44" s="530"/>
      <c r="AP44" s="530"/>
      <c r="AQ44" s="530"/>
    </row>
    <row r="45" spans="1:43" x14ac:dyDescent="0.25">
      <c r="A45" s="31" t="s">
        <v>27</v>
      </c>
      <c r="B45" s="588">
        <v>611461288.86000001</v>
      </c>
      <c r="C45" s="588">
        <v>1160817609.5899999</v>
      </c>
      <c r="D45" s="588">
        <v>0</v>
      </c>
      <c r="E45" s="588">
        <v>424185950.3900001</v>
      </c>
      <c r="F45" s="588">
        <v>68943842.649999991</v>
      </c>
      <c r="G45" s="588">
        <v>2265408691.4900002</v>
      </c>
      <c r="I45" s="530"/>
      <c r="J45" s="530"/>
      <c r="K45" s="530"/>
      <c r="L45" s="530"/>
      <c r="M45" s="530"/>
      <c r="N45" s="530"/>
      <c r="O45" s="530"/>
      <c r="P45" s="530"/>
      <c r="Q45" s="530"/>
      <c r="R45" s="530"/>
      <c r="S45" s="530"/>
      <c r="T45" s="530"/>
      <c r="U45" s="530"/>
      <c r="V45" s="530"/>
      <c r="W45" s="530"/>
      <c r="X45" s="530"/>
      <c r="Y45" s="530"/>
      <c r="Z45" s="530"/>
      <c r="AA45" s="530"/>
      <c r="AB45" s="530"/>
      <c r="AC45" s="530"/>
      <c r="AD45" s="530"/>
      <c r="AE45" s="530"/>
      <c r="AF45" s="530"/>
      <c r="AG45" s="530"/>
      <c r="AH45" s="530"/>
      <c r="AI45" s="530"/>
      <c r="AJ45" s="530"/>
      <c r="AK45" s="530"/>
      <c r="AL45" s="530"/>
      <c r="AM45" s="530"/>
      <c r="AN45" s="530"/>
      <c r="AO45" s="530"/>
      <c r="AP45" s="530"/>
      <c r="AQ45" s="530"/>
    </row>
    <row r="46" spans="1:43" x14ac:dyDescent="0.25">
      <c r="A46" s="31"/>
      <c r="B46" s="568"/>
      <c r="C46" s="568"/>
      <c r="D46" s="568"/>
      <c r="E46" s="568"/>
      <c r="F46" s="568"/>
      <c r="G46" s="568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30"/>
      <c r="AE46" s="530"/>
      <c r="AF46" s="530"/>
      <c r="AG46" s="530"/>
      <c r="AH46" s="530"/>
      <c r="AI46" s="530"/>
      <c r="AJ46" s="530"/>
      <c r="AK46" s="530"/>
      <c r="AL46" s="530"/>
      <c r="AM46" s="530"/>
      <c r="AN46" s="530"/>
      <c r="AO46" s="530"/>
      <c r="AP46" s="530"/>
      <c r="AQ46" s="530"/>
    </row>
    <row r="47" spans="1:43" x14ac:dyDescent="0.25">
      <c r="A47" s="31" t="s">
        <v>341</v>
      </c>
      <c r="B47" s="597"/>
      <c r="C47" s="597"/>
      <c r="D47" s="597"/>
      <c r="E47" s="597"/>
      <c r="F47" s="597"/>
      <c r="G47" s="597"/>
      <c r="H47" s="26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530"/>
      <c r="AD47" s="530"/>
      <c r="AE47" s="530"/>
      <c r="AF47" s="530"/>
      <c r="AG47" s="530"/>
      <c r="AH47" s="530"/>
      <c r="AI47" s="530"/>
      <c r="AJ47" s="530"/>
      <c r="AK47" s="530"/>
      <c r="AL47" s="530"/>
      <c r="AM47" s="530"/>
      <c r="AN47" s="530"/>
      <c r="AO47" s="530"/>
      <c r="AP47" s="530"/>
      <c r="AQ47" s="530"/>
    </row>
    <row r="48" spans="1:43" x14ac:dyDescent="0.25">
      <c r="B48" s="568"/>
      <c r="C48" s="568"/>
      <c r="D48" s="568"/>
      <c r="E48" s="568"/>
      <c r="F48" s="568"/>
      <c r="G48" s="568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0"/>
      <c r="AE48" s="530"/>
      <c r="AF48" s="530"/>
      <c r="AG48" s="530"/>
      <c r="AH48" s="530"/>
      <c r="AI48" s="530"/>
      <c r="AJ48" s="530"/>
      <c r="AK48" s="530"/>
      <c r="AL48" s="530"/>
      <c r="AM48" s="530"/>
      <c r="AN48" s="530"/>
      <c r="AO48" s="530"/>
      <c r="AP48" s="530"/>
      <c r="AQ48" s="530"/>
    </row>
    <row r="49" spans="1:50" x14ac:dyDescent="0.25">
      <c r="A49" s="507" t="s">
        <v>436</v>
      </c>
      <c r="B49" s="568"/>
      <c r="C49" s="568"/>
      <c r="D49" s="568"/>
      <c r="E49" s="568"/>
      <c r="F49" s="568"/>
      <c r="G49" s="568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0"/>
      <c r="AF49" s="530"/>
      <c r="AG49" s="530"/>
      <c r="AH49" s="530"/>
      <c r="AI49" s="530"/>
      <c r="AJ49" s="530"/>
      <c r="AK49" s="530"/>
      <c r="AL49" s="530"/>
      <c r="AM49" s="530"/>
      <c r="AN49" s="530"/>
      <c r="AO49" s="530"/>
      <c r="AP49" s="530"/>
      <c r="AQ49" s="530"/>
    </row>
    <row r="50" spans="1:50" x14ac:dyDescent="0.25">
      <c r="A50" s="8" t="s">
        <v>8</v>
      </c>
      <c r="B50" s="568">
        <v>601476460.25</v>
      </c>
      <c r="C50" s="568">
        <v>1107172705.9099998</v>
      </c>
      <c r="D50" s="568">
        <v>0</v>
      </c>
      <c r="E50" s="568">
        <v>335021677.10000002</v>
      </c>
      <c r="F50" s="568">
        <v>66033734.519999996</v>
      </c>
      <c r="G50" s="568">
        <v>2109704577.7799997</v>
      </c>
      <c r="H50" s="83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0"/>
      <c r="AH50" s="530"/>
      <c r="AI50" s="530"/>
      <c r="AJ50" s="530"/>
      <c r="AK50" s="530"/>
      <c r="AL50" s="530"/>
      <c r="AM50" s="530"/>
      <c r="AN50" s="530"/>
      <c r="AO50" s="530"/>
      <c r="AP50" s="530"/>
      <c r="AQ50" s="530"/>
    </row>
    <row r="51" spans="1:50" x14ac:dyDescent="0.25">
      <c r="A51" s="8" t="s">
        <v>9</v>
      </c>
      <c r="B51" s="568">
        <v>448681.68000000005</v>
      </c>
      <c r="C51" s="568">
        <v>823477.74</v>
      </c>
      <c r="D51" s="568">
        <v>0</v>
      </c>
      <c r="E51" s="568">
        <v>470766.81000000006</v>
      </c>
      <c r="F51" s="568">
        <v>49771.98</v>
      </c>
      <c r="G51" s="568">
        <v>1792698.21</v>
      </c>
      <c r="H51" s="83"/>
      <c r="I51" s="530"/>
      <c r="J51" s="530"/>
      <c r="K51" s="530"/>
      <c r="L51" s="530"/>
      <c r="M51" s="530"/>
      <c r="N51" s="530"/>
      <c r="O51" s="530"/>
      <c r="P51" s="530"/>
      <c r="Q51" s="530"/>
      <c r="R51" s="530"/>
      <c r="S51" s="530"/>
      <c r="T51" s="530"/>
      <c r="U51" s="530"/>
      <c r="V51" s="530"/>
      <c r="W51" s="530"/>
      <c r="X51" s="530"/>
      <c r="Y51" s="530"/>
      <c r="Z51" s="530"/>
      <c r="AA51" s="530"/>
      <c r="AB51" s="530"/>
      <c r="AC51" s="530"/>
      <c r="AD51" s="530"/>
      <c r="AE51" s="530"/>
      <c r="AF51" s="530"/>
      <c r="AG51" s="530"/>
      <c r="AH51" s="530"/>
      <c r="AI51" s="530"/>
      <c r="AJ51" s="530"/>
      <c r="AK51" s="530"/>
      <c r="AL51" s="530"/>
      <c r="AM51" s="530"/>
      <c r="AN51" s="530"/>
      <c r="AO51" s="530"/>
      <c r="AP51" s="530"/>
      <c r="AQ51" s="530"/>
    </row>
    <row r="52" spans="1:50" x14ac:dyDescent="0.25">
      <c r="A52" s="8" t="s">
        <v>10</v>
      </c>
      <c r="B52" s="568">
        <v>-107090.66</v>
      </c>
      <c r="C52" s="568">
        <v>-197127.96999999997</v>
      </c>
      <c r="D52" s="568">
        <v>0</v>
      </c>
      <c r="E52" s="568">
        <v>-59649.23000000001</v>
      </c>
      <c r="F52" s="568">
        <v>-11757.1</v>
      </c>
      <c r="G52" s="568">
        <v>-375624.95999999996</v>
      </c>
      <c r="H52" s="83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0"/>
      <c r="AE52" s="530"/>
      <c r="AF52" s="530"/>
      <c r="AG52" s="530"/>
      <c r="AH52" s="530"/>
      <c r="AI52" s="530"/>
      <c r="AJ52" s="530"/>
      <c r="AK52" s="530"/>
      <c r="AL52" s="530"/>
      <c r="AM52" s="530"/>
      <c r="AN52" s="530"/>
      <c r="AO52" s="530"/>
      <c r="AP52" s="530"/>
      <c r="AQ52" s="530"/>
    </row>
    <row r="53" spans="1:50" x14ac:dyDescent="0.25">
      <c r="A53" s="8" t="s">
        <v>344</v>
      </c>
      <c r="B53" s="568">
        <v>0</v>
      </c>
      <c r="C53" s="568">
        <v>334214492.57999998</v>
      </c>
      <c r="D53" s="568">
        <v>-334214492.57999998</v>
      </c>
      <c r="E53" s="568">
        <v>0</v>
      </c>
      <c r="F53" s="568">
        <v>0</v>
      </c>
      <c r="G53" s="568">
        <v>0</v>
      </c>
      <c r="H53" s="83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0"/>
      <c r="AE53" s="530"/>
      <c r="AF53" s="530"/>
      <c r="AG53" s="530"/>
      <c r="AH53" s="530"/>
      <c r="AI53" s="530"/>
      <c r="AJ53" s="530"/>
      <c r="AK53" s="530"/>
      <c r="AL53" s="530"/>
      <c r="AM53" s="530"/>
      <c r="AN53" s="530"/>
      <c r="AO53" s="530"/>
      <c r="AP53" s="530"/>
      <c r="AQ53" s="530"/>
    </row>
    <row r="54" spans="1:50" x14ac:dyDescent="0.25">
      <c r="A54" s="8" t="s">
        <v>11</v>
      </c>
      <c r="B54" s="568">
        <v>285.10000000000002</v>
      </c>
      <c r="C54" s="568">
        <v>524.79999999999995</v>
      </c>
      <c r="D54" s="568">
        <v>0</v>
      </c>
      <c r="E54" s="568">
        <v>158.80000000000001</v>
      </c>
      <c r="F54" s="568">
        <v>31.3</v>
      </c>
      <c r="G54" s="568">
        <v>1000</v>
      </c>
      <c r="H54" s="83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0"/>
      <c r="AE54" s="530"/>
      <c r="AF54" s="530"/>
      <c r="AG54" s="530"/>
      <c r="AH54" s="530"/>
      <c r="AI54" s="530"/>
      <c r="AJ54" s="530"/>
      <c r="AK54" s="530"/>
      <c r="AL54" s="530"/>
      <c r="AM54" s="530"/>
      <c r="AN54" s="530"/>
      <c r="AO54" s="530"/>
      <c r="AP54" s="530"/>
      <c r="AQ54" s="530"/>
    </row>
    <row r="55" spans="1:50" x14ac:dyDescent="0.25">
      <c r="A55" s="8" t="s">
        <v>12</v>
      </c>
      <c r="B55" s="568">
        <v>604633.85</v>
      </c>
      <c r="C55" s="568">
        <v>880529.37</v>
      </c>
      <c r="D55" s="568">
        <v>0</v>
      </c>
      <c r="E55" s="568">
        <v>108948.86000000002</v>
      </c>
      <c r="F55" s="568">
        <v>66380.349999999991</v>
      </c>
      <c r="G55" s="568">
        <v>1660492.4300000002</v>
      </c>
      <c r="H55" s="83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0"/>
      <c r="V55" s="530"/>
      <c r="W55" s="530"/>
      <c r="X55" s="530"/>
      <c r="Y55" s="530"/>
      <c r="Z55" s="530"/>
      <c r="AA55" s="530"/>
      <c r="AB55" s="530"/>
      <c r="AC55" s="530"/>
      <c r="AD55" s="530"/>
      <c r="AE55" s="530"/>
      <c r="AF55" s="530"/>
      <c r="AG55" s="530"/>
      <c r="AH55" s="530"/>
      <c r="AI55" s="530"/>
      <c r="AJ55" s="530"/>
      <c r="AK55" s="530"/>
      <c r="AL55" s="530"/>
      <c r="AM55" s="530"/>
      <c r="AN55" s="530"/>
      <c r="AO55" s="530"/>
      <c r="AP55" s="530"/>
      <c r="AQ55" s="530"/>
    </row>
    <row r="56" spans="1:50" hidden="1" x14ac:dyDescent="0.25">
      <c r="A56" s="8" t="s">
        <v>342</v>
      </c>
      <c r="B56" s="568"/>
      <c r="C56" s="568"/>
      <c r="D56" s="568"/>
      <c r="E56" s="568"/>
      <c r="F56" s="568"/>
      <c r="G56" s="568">
        <v>0</v>
      </c>
      <c r="H56" s="83"/>
      <c r="I56" s="530"/>
      <c r="J56" s="530"/>
      <c r="K56" s="530"/>
      <c r="L56" s="530"/>
      <c r="M56" s="530"/>
      <c r="N56" s="530"/>
      <c r="O56" s="530"/>
      <c r="P56" s="530"/>
      <c r="Q56" s="530"/>
      <c r="R56" s="530"/>
      <c r="S56" s="530"/>
      <c r="T56" s="530"/>
      <c r="U56" s="530"/>
      <c r="V56" s="530"/>
      <c r="W56" s="530"/>
      <c r="X56" s="530"/>
      <c r="Y56" s="530"/>
      <c r="Z56" s="530"/>
      <c r="AA56" s="530"/>
      <c r="AB56" s="530"/>
      <c r="AC56" s="530"/>
      <c r="AD56" s="530"/>
      <c r="AE56" s="530"/>
      <c r="AF56" s="530"/>
      <c r="AG56" s="530"/>
      <c r="AH56" s="530"/>
      <c r="AI56" s="530"/>
      <c r="AJ56" s="530"/>
      <c r="AK56" s="530"/>
      <c r="AL56" s="530"/>
      <c r="AM56" s="530"/>
      <c r="AN56" s="530"/>
      <c r="AO56" s="530"/>
      <c r="AP56" s="530"/>
      <c r="AQ56" s="530"/>
    </row>
    <row r="57" spans="1:50" x14ac:dyDescent="0.25">
      <c r="A57" s="8" t="s">
        <v>340</v>
      </c>
      <c r="B57" s="568">
        <v>2003021.85</v>
      </c>
      <c r="C57" s="568">
        <v>0</v>
      </c>
      <c r="D57" s="568">
        <v>0</v>
      </c>
      <c r="E57" s="568">
        <v>0</v>
      </c>
      <c r="F57" s="568">
        <v>-529147.01</v>
      </c>
      <c r="G57" s="568">
        <v>1473874.84</v>
      </c>
      <c r="H57" s="83"/>
      <c r="I57" s="530"/>
      <c r="J57" s="530"/>
      <c r="K57" s="530"/>
      <c r="L57" s="530"/>
      <c r="M57" s="530"/>
      <c r="N57" s="530"/>
      <c r="O57" s="530"/>
      <c r="P57" s="530"/>
      <c r="Q57" s="530"/>
      <c r="R57" s="530"/>
      <c r="S57" s="530"/>
      <c r="T57" s="530"/>
      <c r="U57" s="530"/>
      <c r="V57" s="530"/>
      <c r="W57" s="530"/>
      <c r="X57" s="530"/>
      <c r="Y57" s="530"/>
      <c r="Z57" s="530"/>
      <c r="AA57" s="530"/>
      <c r="AB57" s="530"/>
      <c r="AC57" s="530"/>
      <c r="AD57" s="530"/>
      <c r="AE57" s="530"/>
      <c r="AF57" s="530"/>
      <c r="AG57" s="530"/>
      <c r="AH57" s="530"/>
      <c r="AI57" s="530"/>
      <c r="AJ57" s="530"/>
      <c r="AK57" s="530"/>
      <c r="AL57" s="530"/>
      <c r="AM57" s="530"/>
      <c r="AN57" s="530"/>
      <c r="AO57" s="530"/>
      <c r="AP57" s="530"/>
      <c r="AQ57" s="530"/>
    </row>
    <row r="58" spans="1:50" x14ac:dyDescent="0.25">
      <c r="A58" s="8" t="s">
        <v>13</v>
      </c>
      <c r="B58" s="568">
        <v>-550373523.03999996</v>
      </c>
      <c r="C58" s="568">
        <v>-1554429594.3299999</v>
      </c>
      <c r="D58" s="568">
        <v>0</v>
      </c>
      <c r="E58" s="568">
        <v>-372466073.37</v>
      </c>
      <c r="F58" s="568">
        <v>-85842919.530000001</v>
      </c>
      <c r="G58" s="568">
        <v>-2563112110.27</v>
      </c>
      <c r="H58" s="83"/>
      <c r="I58" s="530"/>
      <c r="J58" s="530"/>
      <c r="K58" s="530"/>
      <c r="L58" s="530"/>
      <c r="M58" s="530"/>
      <c r="N58" s="530"/>
      <c r="O58" s="530"/>
      <c r="P58" s="530"/>
      <c r="Q58" s="530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30"/>
      <c r="AE58" s="530"/>
      <c r="AF58" s="530"/>
      <c r="AG58" s="530"/>
      <c r="AH58" s="530"/>
      <c r="AI58" s="530"/>
      <c r="AJ58" s="530"/>
      <c r="AK58" s="530"/>
      <c r="AL58" s="530"/>
      <c r="AM58" s="530"/>
      <c r="AN58" s="530"/>
      <c r="AO58" s="530"/>
      <c r="AP58" s="530"/>
      <c r="AQ58" s="530"/>
      <c r="AR58" s="598"/>
      <c r="AS58" s="598"/>
      <c r="AT58" s="598"/>
      <c r="AU58" s="598"/>
      <c r="AV58" s="598"/>
      <c r="AW58" s="598"/>
      <c r="AX58" s="598"/>
    </row>
    <row r="59" spans="1:50" x14ac:dyDescent="0.25">
      <c r="A59" s="8" t="s">
        <v>314</v>
      </c>
      <c r="B59" s="568">
        <v>1419471.6700000002</v>
      </c>
      <c r="C59" s="568">
        <v>161153678.00000006</v>
      </c>
      <c r="D59" s="568">
        <v>0</v>
      </c>
      <c r="E59" s="568">
        <v>-422883</v>
      </c>
      <c r="F59" s="568">
        <v>0</v>
      </c>
      <c r="G59" s="568">
        <v>162150266.67000005</v>
      </c>
      <c r="I59" s="530"/>
      <c r="J59" s="530"/>
      <c r="K59" s="530"/>
      <c r="L59" s="530"/>
      <c r="M59" s="530"/>
      <c r="N59" s="530"/>
      <c r="O59" s="530"/>
      <c r="P59" s="530"/>
      <c r="Q59" s="530"/>
      <c r="R59" s="530"/>
      <c r="S59" s="530"/>
      <c r="T59" s="530"/>
      <c r="U59" s="530"/>
      <c r="V59" s="530"/>
      <c r="W59" s="530"/>
      <c r="X59" s="530"/>
      <c r="Y59" s="530"/>
      <c r="Z59" s="530"/>
      <c r="AA59" s="530"/>
      <c r="AB59" s="530"/>
      <c r="AC59" s="530"/>
      <c r="AD59" s="530"/>
      <c r="AE59" s="530"/>
      <c r="AF59" s="530"/>
      <c r="AG59" s="530"/>
      <c r="AH59" s="530"/>
      <c r="AI59" s="530"/>
      <c r="AJ59" s="530"/>
      <c r="AK59" s="530"/>
      <c r="AL59" s="530"/>
      <c r="AM59" s="530"/>
      <c r="AN59" s="530"/>
      <c r="AO59" s="530"/>
      <c r="AP59" s="530"/>
      <c r="AQ59" s="530"/>
    </row>
    <row r="60" spans="1:50" x14ac:dyDescent="0.25">
      <c r="A60" s="8" t="s">
        <v>14</v>
      </c>
      <c r="B60" s="568">
        <v>-25561039.210000001</v>
      </c>
      <c r="C60" s="568">
        <v>-6712151.7200000007</v>
      </c>
      <c r="D60" s="568">
        <v>0</v>
      </c>
      <c r="E60" s="568">
        <v>-4001425.15</v>
      </c>
      <c r="F60" s="568">
        <v>-2927291.95</v>
      </c>
      <c r="G60" s="568">
        <v>-39201908.030000001</v>
      </c>
      <c r="H60" s="83"/>
      <c r="I60" s="530"/>
      <c r="J60" s="530"/>
      <c r="K60" s="530"/>
      <c r="L60" s="530"/>
      <c r="M60" s="530"/>
      <c r="N60" s="530"/>
      <c r="O60" s="530"/>
      <c r="P60" s="530"/>
      <c r="Q60" s="530"/>
      <c r="R60" s="530"/>
      <c r="S60" s="530"/>
      <c r="T60" s="530"/>
      <c r="U60" s="530"/>
      <c r="V60" s="530"/>
      <c r="W60" s="530"/>
      <c r="X60" s="530"/>
      <c r="Y60" s="530"/>
      <c r="Z60" s="530"/>
      <c r="AA60" s="530"/>
      <c r="AB60" s="530"/>
      <c r="AC60" s="530"/>
      <c r="AD60" s="530"/>
      <c r="AE60" s="530"/>
      <c r="AF60" s="530"/>
      <c r="AG60" s="530"/>
      <c r="AH60" s="530"/>
      <c r="AI60" s="530"/>
      <c r="AJ60" s="530"/>
      <c r="AK60" s="530"/>
      <c r="AL60" s="530"/>
      <c r="AM60" s="530"/>
      <c r="AN60" s="530"/>
      <c r="AO60" s="530"/>
      <c r="AP60" s="530"/>
      <c r="AQ60" s="530"/>
    </row>
    <row r="61" spans="1:50" x14ac:dyDescent="0.25">
      <c r="A61" s="8" t="s">
        <v>15</v>
      </c>
      <c r="B61" s="568">
        <v>6336353.3100000005</v>
      </c>
      <c r="C61" s="568">
        <v>2863531.38</v>
      </c>
      <c r="D61" s="568">
        <v>0</v>
      </c>
      <c r="E61" s="568">
        <v>153052.35999999999</v>
      </c>
      <c r="F61" s="568">
        <v>476685.41000000003</v>
      </c>
      <c r="G61" s="568">
        <v>9829622.4600000009</v>
      </c>
      <c r="H61" s="83"/>
      <c r="I61" s="530"/>
      <c r="J61" s="530"/>
      <c r="K61" s="530"/>
      <c r="L61" s="530"/>
      <c r="M61" s="530"/>
      <c r="N61" s="530"/>
      <c r="O61" s="530"/>
      <c r="P61" s="530"/>
      <c r="Q61" s="530"/>
      <c r="R61" s="530"/>
      <c r="S61" s="530"/>
      <c r="T61" s="530"/>
      <c r="U61" s="530"/>
      <c r="V61" s="530"/>
      <c r="W61" s="530"/>
      <c r="X61" s="530"/>
      <c r="Y61" s="530"/>
      <c r="Z61" s="530"/>
      <c r="AA61" s="530"/>
      <c r="AB61" s="530"/>
      <c r="AC61" s="530"/>
      <c r="AD61" s="530"/>
      <c r="AE61" s="530"/>
      <c r="AF61" s="530"/>
      <c r="AG61" s="530"/>
      <c r="AH61" s="530"/>
      <c r="AI61" s="530"/>
      <c r="AJ61" s="530"/>
      <c r="AK61" s="530"/>
      <c r="AL61" s="530"/>
      <c r="AM61" s="530"/>
      <c r="AN61" s="530"/>
      <c r="AO61" s="530"/>
      <c r="AP61" s="530"/>
      <c r="AQ61" s="530"/>
    </row>
    <row r="62" spans="1:50" ht="13.8" thickBot="1" x14ac:dyDescent="0.3">
      <c r="A62" s="8" t="s">
        <v>339</v>
      </c>
      <c r="B62" s="568">
        <v>0</v>
      </c>
      <c r="C62" s="568">
        <v>0</v>
      </c>
      <c r="D62" s="568">
        <v>0</v>
      </c>
      <c r="E62" s="568">
        <v>0</v>
      </c>
      <c r="F62" s="568">
        <v>0</v>
      </c>
      <c r="G62" s="568">
        <v>0</v>
      </c>
      <c r="H62" s="83"/>
      <c r="I62" s="530"/>
      <c r="J62" s="530"/>
      <c r="K62" s="530"/>
      <c r="L62" s="530"/>
      <c r="M62" s="530"/>
      <c r="N62" s="530"/>
      <c r="O62" s="530"/>
      <c r="P62" s="530"/>
      <c r="Q62" s="530"/>
      <c r="R62" s="530"/>
      <c r="S62" s="530"/>
      <c r="T62" s="530"/>
      <c r="U62" s="530"/>
      <c r="V62" s="530"/>
      <c r="W62" s="530"/>
      <c r="X62" s="530"/>
      <c r="Y62" s="530"/>
      <c r="Z62" s="530"/>
      <c r="AA62" s="530"/>
      <c r="AB62" s="530"/>
      <c r="AC62" s="530"/>
      <c r="AD62" s="530"/>
      <c r="AE62" s="530"/>
      <c r="AF62" s="530"/>
      <c r="AG62" s="530"/>
      <c r="AH62" s="530"/>
      <c r="AI62" s="530"/>
      <c r="AJ62" s="530"/>
      <c r="AK62" s="530"/>
      <c r="AL62" s="530"/>
      <c r="AM62" s="530"/>
      <c r="AN62" s="530"/>
      <c r="AO62" s="530"/>
      <c r="AP62" s="530"/>
      <c r="AQ62" s="530"/>
    </row>
    <row r="63" spans="1:50" ht="14.4" thickTop="1" thickBot="1" x14ac:dyDescent="0.3">
      <c r="A63" s="219" t="s">
        <v>437</v>
      </c>
      <c r="B63" s="587">
        <v>5477752668.4610014</v>
      </c>
      <c r="C63" s="587">
        <v>319397362.2366206</v>
      </c>
      <c r="D63" s="587">
        <v>1991329761.8673201</v>
      </c>
      <c r="E63" s="587">
        <v>120341566.2952432</v>
      </c>
      <c r="F63" s="587">
        <v>382720286.37296498</v>
      </c>
      <c r="G63" s="587">
        <v>8290863143.9531527</v>
      </c>
      <c r="H63" s="74"/>
      <c r="I63" s="74"/>
      <c r="J63" s="74"/>
      <c r="K63" s="530"/>
      <c r="L63" s="530"/>
      <c r="M63" s="530"/>
      <c r="N63" s="530"/>
      <c r="O63" s="530"/>
      <c r="P63" s="530"/>
      <c r="Q63" s="530"/>
      <c r="R63" s="530"/>
      <c r="S63" s="530"/>
      <c r="T63" s="530"/>
      <c r="U63" s="530"/>
      <c r="V63" s="530"/>
      <c r="W63" s="530"/>
      <c r="X63" s="530"/>
      <c r="Y63" s="530"/>
      <c r="Z63" s="530"/>
      <c r="AA63" s="530"/>
      <c r="AB63" s="530"/>
      <c r="AC63" s="530"/>
      <c r="AD63" s="530"/>
      <c r="AE63" s="530"/>
      <c r="AF63" s="530"/>
      <c r="AG63" s="530"/>
      <c r="AH63" s="530"/>
      <c r="AI63" s="530"/>
      <c r="AJ63" s="530"/>
      <c r="AK63" s="530"/>
      <c r="AL63" s="530"/>
      <c r="AM63" s="530"/>
      <c r="AN63" s="530"/>
      <c r="AO63" s="530"/>
      <c r="AP63" s="530"/>
      <c r="AQ63" s="530"/>
    </row>
    <row r="64" spans="1:50" ht="13.8" thickTop="1" x14ac:dyDescent="0.25">
      <c r="A64" s="31"/>
      <c r="B64" s="570"/>
      <c r="C64" s="570"/>
      <c r="D64" s="570"/>
      <c r="E64" s="570"/>
      <c r="F64" s="570"/>
      <c r="G64" s="570"/>
      <c r="H64" s="74"/>
      <c r="I64" s="530"/>
      <c r="J64" s="530"/>
      <c r="K64" s="530"/>
      <c r="L64" s="530"/>
      <c r="M64" s="530"/>
      <c r="N64" s="530"/>
      <c r="O64" s="530"/>
      <c r="P64" s="530"/>
      <c r="Q64" s="530"/>
      <c r="R64" s="530"/>
      <c r="S64" s="530"/>
      <c r="T64" s="530"/>
      <c r="U64" s="530"/>
      <c r="V64" s="530"/>
      <c r="W64" s="530"/>
      <c r="X64" s="530"/>
      <c r="Y64" s="530"/>
      <c r="Z64" s="530"/>
      <c r="AA64" s="530"/>
      <c r="AB64" s="530"/>
      <c r="AC64" s="530"/>
      <c r="AD64" s="530"/>
      <c r="AE64" s="585"/>
      <c r="AF64" s="530"/>
      <c r="AG64" s="530"/>
      <c r="AH64" s="530"/>
      <c r="AI64" s="530"/>
      <c r="AJ64" s="530"/>
      <c r="AK64" s="530"/>
      <c r="AL64" s="530"/>
      <c r="AM64" s="530"/>
      <c r="AN64" s="530"/>
      <c r="AO64" s="530"/>
      <c r="AP64" s="530"/>
      <c r="AQ64" s="530"/>
    </row>
    <row r="65" spans="1:43" x14ac:dyDescent="0.25">
      <c r="A65" s="31" t="s">
        <v>27</v>
      </c>
      <c r="B65" s="597">
        <v>601818336.37</v>
      </c>
      <c r="C65" s="597">
        <v>1107799580.4799998</v>
      </c>
      <c r="D65" s="597">
        <v>0</v>
      </c>
      <c r="E65" s="597">
        <v>335432953.48000002</v>
      </c>
      <c r="F65" s="597">
        <v>66071780.699999988</v>
      </c>
      <c r="G65" s="597">
        <v>2111122651.03</v>
      </c>
      <c r="H65" s="26"/>
      <c r="I65" s="530"/>
      <c r="J65" s="530"/>
      <c r="K65" s="530"/>
      <c r="L65" s="530"/>
      <c r="M65" s="530"/>
      <c r="N65" s="530"/>
      <c r="O65" s="530"/>
      <c r="P65" s="530"/>
      <c r="Q65" s="530"/>
      <c r="R65" s="530"/>
      <c r="S65" s="530"/>
      <c r="T65" s="530"/>
      <c r="U65" s="530"/>
      <c r="V65" s="530"/>
      <c r="W65" s="530"/>
      <c r="X65" s="530"/>
      <c r="Y65" s="530"/>
      <c r="Z65" s="530"/>
      <c r="AA65" s="530"/>
      <c r="AB65" s="530"/>
      <c r="AC65" s="530"/>
      <c r="AD65" s="530"/>
      <c r="AE65" s="530"/>
      <c r="AF65" s="530"/>
      <c r="AG65" s="530"/>
      <c r="AH65" s="530"/>
      <c r="AI65" s="530"/>
      <c r="AJ65" s="530"/>
      <c r="AK65" s="530"/>
      <c r="AL65" s="530"/>
      <c r="AM65" s="530"/>
      <c r="AN65" s="530"/>
      <c r="AO65" s="530"/>
      <c r="AP65" s="530"/>
      <c r="AQ65" s="530"/>
    </row>
    <row r="66" spans="1:43" x14ac:dyDescent="0.25">
      <c r="A66" s="31"/>
      <c r="B66" s="570"/>
      <c r="C66" s="570"/>
      <c r="D66" s="570"/>
      <c r="E66" s="570"/>
      <c r="F66" s="570"/>
      <c r="G66" s="570"/>
      <c r="H66" s="74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530"/>
      <c r="AD66" s="530"/>
      <c r="AE66" s="530"/>
      <c r="AF66" s="530"/>
      <c r="AG66" s="530"/>
      <c r="AH66" s="530"/>
      <c r="AI66" s="530"/>
      <c r="AJ66" s="530"/>
      <c r="AK66" s="530"/>
      <c r="AL66" s="530"/>
      <c r="AM66" s="530"/>
      <c r="AN66" s="530"/>
      <c r="AO66" s="530"/>
      <c r="AP66" s="530"/>
      <c r="AQ66" s="530"/>
    </row>
    <row r="67" spans="1:43" ht="13.5" customHeight="1" x14ac:dyDescent="0.25">
      <c r="A67" s="507" t="s">
        <v>438</v>
      </c>
      <c r="B67" s="568"/>
      <c r="C67" s="568"/>
      <c r="D67" s="568"/>
      <c r="E67" s="568"/>
      <c r="F67" s="568"/>
      <c r="G67" s="568"/>
      <c r="I67" s="530"/>
      <c r="J67" s="530"/>
      <c r="K67" s="530"/>
      <c r="L67" s="530"/>
      <c r="M67" s="530"/>
      <c r="N67" s="530"/>
      <c r="O67" s="530"/>
      <c r="P67" s="530"/>
      <c r="Q67" s="530"/>
      <c r="R67" s="530"/>
      <c r="S67" s="530"/>
      <c r="T67" s="530"/>
      <c r="U67" s="530"/>
      <c r="V67" s="530"/>
      <c r="W67" s="530"/>
      <c r="X67" s="530"/>
      <c r="Y67" s="530"/>
      <c r="Z67" s="530"/>
      <c r="AA67" s="530"/>
      <c r="AB67" s="530"/>
      <c r="AC67" s="530"/>
      <c r="AD67" s="530"/>
      <c r="AE67" s="530"/>
      <c r="AF67" s="530"/>
      <c r="AG67" s="530"/>
      <c r="AH67" s="530"/>
      <c r="AI67" s="530"/>
      <c r="AJ67" s="530"/>
      <c r="AK67" s="530"/>
      <c r="AL67" s="530"/>
      <c r="AM67" s="530"/>
      <c r="AN67" s="530"/>
      <c r="AO67" s="530"/>
      <c r="AP67" s="530"/>
      <c r="AQ67" s="530"/>
    </row>
    <row r="68" spans="1:43" x14ac:dyDescent="0.25">
      <c r="A68" s="8" t="s">
        <v>8</v>
      </c>
      <c r="B68" s="568">
        <v>613093944.38999999</v>
      </c>
      <c r="C68" s="568">
        <v>1115763074.1900001</v>
      </c>
      <c r="D68" s="568">
        <v>0</v>
      </c>
      <c r="E68" s="568">
        <v>327864896.13</v>
      </c>
      <c r="F68" s="568">
        <v>75037735.340000004</v>
      </c>
      <c r="G68" s="568">
        <v>2131759650.05</v>
      </c>
      <c r="I68" s="585"/>
      <c r="J68" s="530"/>
      <c r="K68" s="530"/>
      <c r="L68" s="530"/>
      <c r="M68" s="530"/>
      <c r="N68" s="530"/>
      <c r="O68" s="530"/>
      <c r="P68" s="530"/>
      <c r="Q68" s="530"/>
      <c r="R68" s="530"/>
      <c r="S68" s="530"/>
      <c r="T68" s="530"/>
      <c r="U68" s="530"/>
      <c r="V68" s="530"/>
      <c r="W68" s="530"/>
      <c r="X68" s="530"/>
      <c r="Y68" s="530"/>
      <c r="Z68" s="530"/>
      <c r="AA68" s="530"/>
      <c r="AB68" s="530"/>
      <c r="AC68" s="530"/>
      <c r="AD68" s="530"/>
      <c r="AE68" s="530"/>
      <c r="AF68" s="530"/>
      <c r="AG68" s="530"/>
      <c r="AH68" s="530"/>
      <c r="AI68" s="530"/>
      <c r="AJ68" s="530"/>
      <c r="AK68" s="530"/>
      <c r="AL68" s="530"/>
      <c r="AM68" s="530"/>
      <c r="AN68" s="530"/>
      <c r="AO68" s="530"/>
      <c r="AP68" s="530"/>
      <c r="AQ68" s="530"/>
    </row>
    <row r="69" spans="1:43" x14ac:dyDescent="0.25">
      <c r="A69" s="8" t="s">
        <v>9</v>
      </c>
      <c r="B69" s="568">
        <v>-564308.49999999988</v>
      </c>
      <c r="C69" s="568">
        <v>-1028266.55</v>
      </c>
      <c r="D69" s="568">
        <v>0</v>
      </c>
      <c r="E69" s="568">
        <v>-3855427.79</v>
      </c>
      <c r="F69" s="568">
        <v>-68289.09</v>
      </c>
      <c r="G69" s="568">
        <v>-5516291.9299999997</v>
      </c>
      <c r="I69" s="585"/>
      <c r="J69" s="585"/>
      <c r="K69" s="585"/>
      <c r="L69" s="585"/>
      <c r="M69" s="585"/>
      <c r="N69" s="585"/>
      <c r="O69" s="585"/>
      <c r="P69" s="530"/>
      <c r="Q69" s="530"/>
      <c r="R69" s="530"/>
      <c r="S69" s="530"/>
      <c r="T69" s="530"/>
      <c r="U69" s="530"/>
      <c r="V69" s="530"/>
      <c r="W69" s="530"/>
      <c r="X69" s="530"/>
      <c r="Y69" s="530"/>
      <c r="Z69" s="530"/>
      <c r="AA69" s="530"/>
      <c r="AB69" s="530"/>
      <c r="AC69" s="530"/>
      <c r="AD69" s="530"/>
      <c r="AE69" s="530"/>
      <c r="AF69" s="530"/>
      <c r="AG69" s="530"/>
      <c r="AH69" s="530"/>
      <c r="AI69" s="530"/>
      <c r="AJ69" s="530"/>
      <c r="AK69" s="530"/>
      <c r="AL69" s="530"/>
      <c r="AM69" s="530"/>
      <c r="AN69" s="530"/>
      <c r="AO69" s="530"/>
      <c r="AP69" s="530"/>
      <c r="AQ69" s="530"/>
    </row>
    <row r="70" spans="1:43" x14ac:dyDescent="0.25">
      <c r="A70" s="8" t="s">
        <v>10</v>
      </c>
      <c r="B70" s="568">
        <v>-275718.83999999997</v>
      </c>
      <c r="C70" s="568">
        <v>-501777.61000000004</v>
      </c>
      <c r="D70" s="568">
        <v>0</v>
      </c>
      <c r="E70" s="568">
        <v>-147446.29</v>
      </c>
      <c r="F70" s="568">
        <v>-33745.850000000006</v>
      </c>
      <c r="G70" s="568">
        <v>-958688.59</v>
      </c>
      <c r="I70" s="585"/>
      <c r="J70" s="585"/>
      <c r="K70" s="585"/>
      <c r="L70" s="585"/>
      <c r="M70" s="585"/>
      <c r="N70" s="585"/>
      <c r="O70" s="585"/>
      <c r="P70" s="530"/>
      <c r="Q70" s="530"/>
      <c r="R70" s="530"/>
      <c r="S70" s="530"/>
      <c r="T70" s="530"/>
      <c r="U70" s="530"/>
      <c r="V70" s="530"/>
      <c r="W70" s="530"/>
      <c r="X70" s="530"/>
      <c r="Y70" s="530"/>
      <c r="Z70" s="530"/>
      <c r="AA70" s="530"/>
      <c r="AB70" s="530"/>
      <c r="AC70" s="530"/>
      <c r="AD70" s="530"/>
      <c r="AE70" s="530"/>
      <c r="AF70" s="530"/>
      <c r="AG70" s="530"/>
      <c r="AH70" s="530"/>
      <c r="AI70" s="530"/>
      <c r="AJ70" s="530"/>
      <c r="AK70" s="530"/>
      <c r="AL70" s="530"/>
      <c r="AM70" s="530"/>
      <c r="AN70" s="530"/>
      <c r="AO70" s="530"/>
      <c r="AP70" s="530"/>
      <c r="AQ70" s="530"/>
    </row>
    <row r="71" spans="1:43" x14ac:dyDescent="0.25">
      <c r="A71" s="8" t="s">
        <v>344</v>
      </c>
      <c r="B71" s="568">
        <v>0</v>
      </c>
      <c r="C71" s="568">
        <v>-3724037.5499999989</v>
      </c>
      <c r="D71" s="568">
        <v>3724037.5499999989</v>
      </c>
      <c r="E71" s="568">
        <v>0</v>
      </c>
      <c r="F71" s="568">
        <v>0</v>
      </c>
      <c r="G71" s="568">
        <v>0</v>
      </c>
      <c r="I71" s="585"/>
      <c r="J71" s="585"/>
      <c r="K71" s="585"/>
      <c r="L71" s="585"/>
      <c r="M71" s="585"/>
      <c r="N71" s="585"/>
      <c r="O71" s="585"/>
      <c r="P71" s="530"/>
      <c r="Q71" s="530"/>
      <c r="R71" s="530"/>
      <c r="S71" s="530"/>
      <c r="T71" s="530"/>
      <c r="U71" s="530"/>
      <c r="V71" s="530"/>
      <c r="W71" s="530"/>
      <c r="X71" s="530"/>
      <c r="Y71" s="530"/>
      <c r="Z71" s="530"/>
      <c r="AA71" s="530"/>
      <c r="AB71" s="530"/>
      <c r="AC71" s="530"/>
      <c r="AD71" s="530"/>
      <c r="AE71" s="530"/>
      <c r="AF71" s="530"/>
      <c r="AG71" s="530"/>
      <c r="AH71" s="530"/>
      <c r="AI71" s="530"/>
      <c r="AJ71" s="530"/>
      <c r="AK71" s="530"/>
      <c r="AL71" s="530"/>
      <c r="AM71" s="530"/>
      <c r="AN71" s="530"/>
      <c r="AO71" s="530"/>
      <c r="AP71" s="530"/>
      <c r="AQ71" s="530"/>
    </row>
    <row r="72" spans="1:43" x14ac:dyDescent="0.25">
      <c r="A72" s="8" t="s">
        <v>11</v>
      </c>
      <c r="B72" s="568">
        <v>0</v>
      </c>
      <c r="C72" s="568">
        <v>0</v>
      </c>
      <c r="D72" s="568">
        <v>0</v>
      </c>
      <c r="E72" s="568">
        <v>0</v>
      </c>
      <c r="F72" s="568">
        <v>0</v>
      </c>
      <c r="G72" s="568">
        <v>0</v>
      </c>
      <c r="I72" s="32"/>
      <c r="J72" s="585"/>
      <c r="K72" s="585"/>
      <c r="L72" s="585"/>
      <c r="M72" s="585"/>
      <c r="N72" s="585"/>
      <c r="O72" s="585"/>
      <c r="P72" s="530"/>
      <c r="Q72" s="530"/>
      <c r="R72" s="530"/>
      <c r="S72" s="530"/>
      <c r="T72" s="530"/>
      <c r="U72" s="530"/>
      <c r="V72" s="530"/>
      <c r="W72" s="530"/>
      <c r="X72" s="530"/>
      <c r="Y72" s="530"/>
      <c r="Z72" s="530"/>
      <c r="AA72" s="530"/>
      <c r="AB72" s="530"/>
      <c r="AC72" s="530"/>
      <c r="AD72" s="530"/>
      <c r="AE72" s="530"/>
      <c r="AF72" s="530"/>
      <c r="AG72" s="530"/>
      <c r="AH72" s="530"/>
      <c r="AI72" s="530"/>
      <c r="AJ72" s="530"/>
      <c r="AK72" s="530"/>
      <c r="AL72" s="530"/>
      <c r="AM72" s="530"/>
      <c r="AN72" s="530"/>
      <c r="AO72" s="530"/>
      <c r="AP72" s="530"/>
      <c r="AQ72" s="530"/>
    </row>
    <row r="73" spans="1:43" x14ac:dyDescent="0.25">
      <c r="A73" s="8" t="s">
        <v>12</v>
      </c>
      <c r="B73" s="568">
        <v>3599251.38</v>
      </c>
      <c r="C73" s="568">
        <v>6562002.7800000012</v>
      </c>
      <c r="D73" s="568">
        <v>0</v>
      </c>
      <c r="E73" s="568">
        <v>1937304.93</v>
      </c>
      <c r="F73" s="568">
        <v>433413.09</v>
      </c>
      <c r="G73" s="568">
        <v>12531972.18</v>
      </c>
      <c r="I73" s="585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530"/>
      <c r="AF73" s="530"/>
      <c r="AG73" s="530"/>
      <c r="AH73" s="530"/>
      <c r="AI73" s="530"/>
      <c r="AJ73" s="530"/>
      <c r="AK73" s="530"/>
      <c r="AL73" s="530"/>
      <c r="AM73" s="530"/>
      <c r="AN73" s="530"/>
      <c r="AO73" s="530"/>
      <c r="AP73" s="530"/>
      <c r="AQ73" s="530"/>
    </row>
    <row r="74" spans="1:43" x14ac:dyDescent="0.25">
      <c r="A74" s="8" t="s">
        <v>340</v>
      </c>
      <c r="B74" s="568">
        <v>1106394.8099999998</v>
      </c>
      <c r="C74" s="568">
        <v>276152.46999999997</v>
      </c>
      <c r="D74" s="568">
        <v>0</v>
      </c>
      <c r="E74" s="568">
        <v>3552280.56</v>
      </c>
      <c r="F74" s="568">
        <v>-1860.010000000002</v>
      </c>
      <c r="G74" s="568">
        <v>4932967.83</v>
      </c>
      <c r="H74" s="83"/>
      <c r="I74" s="585"/>
      <c r="J74" s="585"/>
      <c r="K74" s="585"/>
      <c r="L74" s="585"/>
      <c r="M74" s="585"/>
      <c r="N74" s="585"/>
      <c r="O74" s="585"/>
      <c r="P74" s="530"/>
      <c r="Q74" s="530"/>
      <c r="R74" s="530"/>
      <c r="S74" s="530"/>
      <c r="T74" s="530"/>
      <c r="U74" s="530"/>
      <c r="V74" s="530"/>
      <c r="W74" s="530"/>
      <c r="X74" s="530"/>
      <c r="Y74" s="530"/>
      <c r="Z74" s="530"/>
      <c r="AA74" s="530"/>
      <c r="AB74" s="530"/>
      <c r="AC74" s="530"/>
      <c r="AD74" s="530"/>
      <c r="AE74" s="530"/>
      <c r="AF74" s="530"/>
      <c r="AG74" s="530"/>
      <c r="AH74" s="530"/>
      <c r="AI74" s="530"/>
      <c r="AJ74" s="530"/>
      <c r="AK74" s="530"/>
      <c r="AL74" s="530"/>
      <c r="AM74" s="530"/>
      <c r="AN74" s="530"/>
      <c r="AO74" s="530"/>
      <c r="AP74" s="530"/>
      <c r="AQ74" s="530"/>
    </row>
    <row r="75" spans="1:43" x14ac:dyDescent="0.25">
      <c r="A75" s="8" t="s">
        <v>13</v>
      </c>
      <c r="B75" s="568">
        <v>-624094389.25999999</v>
      </c>
      <c r="C75" s="568">
        <v>-1158837306.5300002</v>
      </c>
      <c r="D75" s="568">
        <v>0</v>
      </c>
      <c r="E75" s="568">
        <v>-375924236</v>
      </c>
      <c r="F75" s="568">
        <v>-60283429.699999996</v>
      </c>
      <c r="G75" s="568">
        <v>-2219139361.4899998</v>
      </c>
      <c r="I75" s="585"/>
      <c r="J75" s="585"/>
      <c r="K75" s="585"/>
      <c r="L75" s="585"/>
      <c r="M75" s="585"/>
      <c r="N75" s="585"/>
      <c r="O75" s="585"/>
      <c r="P75" s="530"/>
      <c r="Q75" s="530"/>
      <c r="R75" s="530"/>
      <c r="S75" s="530"/>
      <c r="T75" s="530"/>
      <c r="U75" s="530"/>
      <c r="V75" s="530"/>
      <c r="W75" s="530"/>
      <c r="X75" s="530"/>
      <c r="Y75" s="530"/>
      <c r="Z75" s="530"/>
      <c r="AA75" s="530"/>
      <c r="AB75" s="530"/>
      <c r="AC75" s="530"/>
      <c r="AD75" s="530"/>
      <c r="AE75" s="530"/>
      <c r="AF75" s="530"/>
      <c r="AG75" s="530"/>
      <c r="AH75" s="530"/>
      <c r="AI75" s="530"/>
      <c r="AJ75" s="530"/>
      <c r="AK75" s="530"/>
      <c r="AL75" s="530"/>
      <c r="AM75" s="530"/>
      <c r="AN75" s="530"/>
      <c r="AO75" s="530"/>
      <c r="AP75" s="530"/>
      <c r="AQ75" s="530"/>
    </row>
    <row r="76" spans="1:43" x14ac:dyDescent="0.25">
      <c r="A76" s="8" t="s">
        <v>314</v>
      </c>
      <c r="B76" s="568">
        <v>0</v>
      </c>
      <c r="C76" s="568">
        <v>-227730</v>
      </c>
      <c r="D76" s="568">
        <v>0</v>
      </c>
      <c r="E76" s="568">
        <v>753191.73</v>
      </c>
      <c r="F76" s="568">
        <v>0</v>
      </c>
      <c r="G76" s="568">
        <v>525461.73</v>
      </c>
      <c r="I76" s="530"/>
      <c r="J76" s="585"/>
      <c r="K76" s="585"/>
      <c r="L76" s="585"/>
      <c r="M76" s="585"/>
      <c r="N76" s="585"/>
      <c r="O76" s="585"/>
      <c r="P76" s="530"/>
      <c r="Q76" s="530"/>
      <c r="R76" s="530"/>
      <c r="S76" s="530"/>
      <c r="T76" s="530"/>
      <c r="U76" s="530"/>
      <c r="V76" s="530"/>
      <c r="W76" s="530"/>
      <c r="X76" s="530"/>
      <c r="Y76" s="530"/>
      <c r="Z76" s="530"/>
      <c r="AA76" s="530"/>
      <c r="AB76" s="530"/>
      <c r="AC76" s="530"/>
      <c r="AD76" s="530"/>
      <c r="AE76" s="530"/>
      <c r="AF76" s="530"/>
      <c r="AG76" s="530"/>
      <c r="AH76" s="530"/>
      <c r="AI76" s="530"/>
      <c r="AJ76" s="530"/>
      <c r="AK76" s="530"/>
      <c r="AL76" s="530"/>
      <c r="AM76" s="530"/>
      <c r="AN76" s="530"/>
      <c r="AO76" s="530"/>
      <c r="AP76" s="530"/>
      <c r="AQ76" s="530"/>
    </row>
    <row r="77" spans="1:43" x14ac:dyDescent="0.25">
      <c r="A77" s="8" t="s">
        <v>14</v>
      </c>
      <c r="B77" s="568">
        <v>-17399112.1955522</v>
      </c>
      <c r="C77" s="568">
        <v>-6833233.0902585471</v>
      </c>
      <c r="D77" s="568">
        <v>0</v>
      </c>
      <c r="E77" s="568">
        <v>-3610886.3588569597</v>
      </c>
      <c r="F77" s="568">
        <v>-2616138.7453322969</v>
      </c>
      <c r="G77" s="568">
        <v>-30459370.390000004</v>
      </c>
      <c r="I77" s="599"/>
      <c r="J77" s="530"/>
      <c r="K77" s="530"/>
      <c r="L77" s="530"/>
      <c r="M77" s="530"/>
      <c r="N77" s="530"/>
      <c r="O77" s="530"/>
      <c r="P77" s="530"/>
      <c r="Q77" s="530"/>
      <c r="R77" s="530"/>
      <c r="S77" s="530"/>
      <c r="T77" s="530"/>
      <c r="U77" s="530"/>
      <c r="V77" s="530"/>
      <c r="W77" s="530"/>
      <c r="X77" s="530"/>
      <c r="Y77" s="530"/>
      <c r="Z77" s="530"/>
      <c r="AA77" s="530"/>
      <c r="AB77" s="530"/>
      <c r="AC77" s="530"/>
      <c r="AD77" s="530"/>
      <c r="AE77" s="530"/>
      <c r="AF77" s="530"/>
      <c r="AG77" s="530"/>
      <c r="AH77" s="530"/>
      <c r="AI77" s="530"/>
      <c r="AJ77" s="530"/>
      <c r="AK77" s="530"/>
      <c r="AL77" s="530"/>
      <c r="AM77" s="530"/>
      <c r="AN77" s="530"/>
      <c r="AO77" s="530"/>
      <c r="AP77" s="530"/>
      <c r="AQ77" s="530"/>
    </row>
    <row r="78" spans="1:43" x14ac:dyDescent="0.25">
      <c r="A78" s="8" t="s">
        <v>15</v>
      </c>
      <c r="B78" s="569">
        <v>5677454.6100000003</v>
      </c>
      <c r="C78" s="569">
        <v>2728276.23</v>
      </c>
      <c r="D78" s="569">
        <v>0</v>
      </c>
      <c r="E78" s="569">
        <v>161461.38</v>
      </c>
      <c r="F78" s="569">
        <v>419250.5</v>
      </c>
      <c r="G78" s="568">
        <v>8986442.7200000007</v>
      </c>
      <c r="H78" s="68"/>
      <c r="I78" s="585"/>
      <c r="J78" s="599"/>
      <c r="K78" s="599"/>
      <c r="L78" s="599"/>
      <c r="M78" s="599"/>
      <c r="N78" s="599"/>
      <c r="O78" s="599"/>
      <c r="P78" s="530"/>
      <c r="Q78" s="530"/>
      <c r="R78" s="530"/>
      <c r="S78" s="530"/>
      <c r="T78" s="530"/>
      <c r="U78" s="530"/>
      <c r="V78" s="530"/>
      <c r="W78" s="530"/>
      <c r="X78" s="530"/>
      <c r="Y78" s="530"/>
      <c r="Z78" s="530"/>
      <c r="AA78" s="530"/>
      <c r="AB78" s="530"/>
      <c r="AC78" s="530"/>
      <c r="AD78" s="530"/>
      <c r="AE78" s="530"/>
      <c r="AF78" s="530"/>
      <c r="AG78" s="530"/>
      <c r="AH78" s="530"/>
      <c r="AI78" s="530"/>
      <c r="AJ78" s="530"/>
      <c r="AK78" s="530"/>
      <c r="AL78" s="530"/>
      <c r="AM78" s="530"/>
      <c r="AN78" s="530"/>
      <c r="AO78" s="530"/>
      <c r="AP78" s="530"/>
      <c r="AQ78" s="530"/>
    </row>
    <row r="79" spans="1:43" ht="13.8" thickBot="1" x14ac:dyDescent="0.3">
      <c r="A79" s="8" t="s">
        <v>339</v>
      </c>
      <c r="B79" s="569">
        <v>0</v>
      </c>
      <c r="C79" s="569">
        <v>0</v>
      </c>
      <c r="D79" s="569">
        <v>0</v>
      </c>
      <c r="E79" s="569">
        <v>0</v>
      </c>
      <c r="F79" s="569">
        <v>0</v>
      </c>
      <c r="G79" s="568">
        <v>0</v>
      </c>
      <c r="H79" s="68"/>
      <c r="I79" s="585"/>
      <c r="J79" s="585"/>
      <c r="K79" s="585"/>
      <c r="L79" s="585"/>
      <c r="M79" s="585"/>
      <c r="N79" s="585"/>
      <c r="O79" s="585"/>
      <c r="P79" s="530"/>
      <c r="Q79" s="530"/>
      <c r="R79" s="530"/>
      <c r="S79" s="530"/>
      <c r="T79" s="530"/>
      <c r="U79" s="530"/>
      <c r="V79" s="530"/>
      <c r="W79" s="530"/>
      <c r="X79" s="530"/>
      <c r="Y79" s="530"/>
      <c r="Z79" s="530"/>
      <c r="AA79" s="530"/>
      <c r="AB79" s="530"/>
      <c r="AC79" s="530"/>
      <c r="AD79" s="530"/>
      <c r="AE79" s="530"/>
      <c r="AF79" s="530"/>
      <c r="AG79" s="530"/>
      <c r="AH79" s="530"/>
      <c r="AI79" s="530"/>
      <c r="AJ79" s="530"/>
      <c r="AK79" s="530"/>
      <c r="AL79" s="530"/>
      <c r="AM79" s="530"/>
      <c r="AN79" s="530"/>
      <c r="AO79" s="530"/>
      <c r="AP79" s="530"/>
      <c r="AQ79" s="530"/>
    </row>
    <row r="80" spans="1:43" ht="14.4" thickTop="1" thickBot="1" x14ac:dyDescent="0.3">
      <c r="A80" s="219" t="s">
        <v>439</v>
      </c>
      <c r="B80" s="587">
        <v>5458896184.8554487</v>
      </c>
      <c r="C80" s="587">
        <v>273574516.57636213</v>
      </c>
      <c r="D80" s="587">
        <v>1995053799.41732</v>
      </c>
      <c r="E80" s="587">
        <v>71072704.586386204</v>
      </c>
      <c r="F80" s="587">
        <v>395607221.90763271</v>
      </c>
      <c r="G80" s="587">
        <v>8193525926.0631533</v>
      </c>
      <c r="H80" s="74"/>
      <c r="I80" s="74"/>
      <c r="J80" s="585"/>
      <c r="K80" s="585"/>
      <c r="L80" s="585"/>
      <c r="M80" s="585"/>
      <c r="N80" s="585"/>
      <c r="O80" s="585"/>
      <c r="P80" s="530"/>
      <c r="Q80" s="530"/>
      <c r="R80" s="530"/>
      <c r="S80" s="530"/>
      <c r="T80" s="530"/>
      <c r="U80" s="530"/>
      <c r="V80" s="530"/>
      <c r="W80" s="530"/>
      <c r="X80" s="530"/>
      <c r="Y80" s="530"/>
      <c r="Z80" s="530"/>
      <c r="AA80" s="530"/>
      <c r="AB80" s="530"/>
      <c r="AC80" s="530"/>
      <c r="AD80" s="530"/>
      <c r="AE80" s="530"/>
      <c r="AF80" s="530"/>
      <c r="AG80" s="530"/>
      <c r="AH80" s="530"/>
      <c r="AI80" s="530"/>
      <c r="AJ80" s="530"/>
      <c r="AK80" s="530"/>
      <c r="AL80" s="530"/>
      <c r="AM80" s="530"/>
      <c r="AN80" s="530"/>
      <c r="AO80" s="530"/>
      <c r="AP80" s="530"/>
      <c r="AQ80" s="530"/>
    </row>
    <row r="81" spans="1:43" ht="13.8" thickTop="1" x14ac:dyDescent="0.25">
      <c r="A81" s="31"/>
      <c r="B81" s="570"/>
      <c r="C81" s="570"/>
      <c r="D81" s="570"/>
      <c r="E81" s="570"/>
      <c r="F81" s="570"/>
      <c r="G81" s="570"/>
      <c r="H81" s="74"/>
      <c r="I81" s="530"/>
      <c r="J81" s="74"/>
      <c r="K81" s="530"/>
      <c r="L81" s="530"/>
      <c r="M81" s="530"/>
      <c r="N81" s="530"/>
      <c r="O81" s="530"/>
      <c r="P81" s="530"/>
      <c r="Q81" s="530"/>
      <c r="R81" s="530"/>
      <c r="S81" s="530"/>
      <c r="T81" s="530"/>
      <c r="U81" s="530"/>
      <c r="V81" s="530"/>
      <c r="W81" s="530"/>
      <c r="X81" s="530"/>
      <c r="Y81" s="530"/>
      <c r="Z81" s="530"/>
      <c r="AA81" s="530"/>
      <c r="AB81" s="530"/>
      <c r="AC81" s="530"/>
      <c r="AD81" s="530"/>
      <c r="AE81" s="530"/>
      <c r="AF81" s="530"/>
      <c r="AG81" s="530"/>
      <c r="AH81" s="530"/>
      <c r="AI81" s="530"/>
      <c r="AJ81" s="530"/>
      <c r="AK81" s="530"/>
      <c r="AL81" s="530"/>
      <c r="AM81" s="530"/>
      <c r="AN81" s="530"/>
      <c r="AO81" s="530"/>
      <c r="AP81" s="530"/>
      <c r="AQ81" s="530"/>
    </row>
    <row r="82" spans="1:43" x14ac:dyDescent="0.25">
      <c r="A82" s="31" t="s">
        <v>27</v>
      </c>
      <c r="B82" s="597">
        <v>612253917.04999995</v>
      </c>
      <c r="C82" s="597">
        <v>1114233030.0300002</v>
      </c>
      <c r="D82" s="597">
        <v>0</v>
      </c>
      <c r="E82" s="597">
        <v>323862022.04999995</v>
      </c>
      <c r="F82" s="597">
        <v>74935700.400000006</v>
      </c>
      <c r="G82" s="597">
        <v>2125284669.53</v>
      </c>
      <c r="H82" s="26"/>
      <c r="I82" s="530"/>
      <c r="J82" s="530"/>
      <c r="K82" s="530"/>
      <c r="L82" s="530"/>
      <c r="M82" s="530"/>
      <c r="N82" s="530"/>
      <c r="O82" s="530"/>
      <c r="P82" s="530"/>
      <c r="Q82" s="530"/>
      <c r="R82" s="530"/>
      <c r="S82" s="530"/>
      <c r="T82" s="530"/>
      <c r="U82" s="530"/>
      <c r="V82" s="530"/>
      <c r="W82" s="530"/>
      <c r="X82" s="530"/>
      <c r="Y82" s="530"/>
      <c r="Z82" s="530"/>
      <c r="AA82" s="530"/>
      <c r="AB82" s="530"/>
      <c r="AC82" s="530"/>
      <c r="AD82" s="530"/>
      <c r="AE82" s="530"/>
      <c r="AF82" s="530"/>
      <c r="AG82" s="530"/>
      <c r="AH82" s="530"/>
      <c r="AI82" s="530"/>
      <c r="AJ82" s="530"/>
      <c r="AK82" s="530"/>
      <c r="AL82" s="530"/>
      <c r="AM82" s="530"/>
      <c r="AN82" s="530"/>
      <c r="AO82" s="530"/>
      <c r="AP82" s="530"/>
      <c r="AQ82" s="530"/>
    </row>
    <row r="83" spans="1:43" x14ac:dyDescent="0.25">
      <c r="A83" s="31"/>
      <c r="B83" s="570"/>
      <c r="C83" s="570"/>
      <c r="D83" s="570"/>
      <c r="E83" s="570"/>
      <c r="F83" s="570"/>
      <c r="G83" s="570"/>
      <c r="H83" s="74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  <c r="AA83" s="530"/>
      <c r="AB83" s="530"/>
      <c r="AC83" s="530"/>
      <c r="AD83" s="530"/>
      <c r="AE83" s="530"/>
      <c r="AF83" s="530"/>
      <c r="AG83" s="589"/>
      <c r="AH83" s="530"/>
      <c r="AI83" s="530"/>
      <c r="AJ83" s="530"/>
      <c r="AK83" s="530"/>
      <c r="AL83" s="530"/>
      <c r="AM83" s="530"/>
      <c r="AN83" s="530"/>
      <c r="AO83" s="530"/>
      <c r="AP83" s="530"/>
      <c r="AQ83" s="530"/>
    </row>
    <row r="84" spans="1:43" x14ac:dyDescent="0.25">
      <c r="A84" s="507" t="s">
        <v>440</v>
      </c>
      <c r="B84" s="568"/>
      <c r="C84" s="568"/>
      <c r="D84" s="568"/>
      <c r="E84" s="568"/>
      <c r="F84" s="568"/>
      <c r="G84" s="568"/>
      <c r="I84" s="530"/>
      <c r="J84" s="530"/>
      <c r="K84" s="530"/>
      <c r="L84" s="530"/>
      <c r="M84" s="530"/>
      <c r="N84" s="530"/>
      <c r="O84" s="530"/>
      <c r="P84" s="530"/>
      <c r="Q84" s="530"/>
      <c r="R84" s="530"/>
      <c r="S84" s="530"/>
      <c r="T84" s="530"/>
      <c r="U84" s="530"/>
      <c r="V84" s="530"/>
      <c r="W84" s="530"/>
      <c r="X84" s="530"/>
      <c r="Y84" s="530"/>
      <c r="Z84" s="530"/>
      <c r="AA84" s="530"/>
      <c r="AB84" s="530"/>
      <c r="AC84" s="530"/>
      <c r="AD84" s="530"/>
      <c r="AE84" s="530"/>
      <c r="AF84" s="530"/>
      <c r="AG84" s="589"/>
      <c r="AH84" s="530"/>
      <c r="AI84" s="530"/>
      <c r="AJ84" s="530"/>
      <c r="AK84" s="530"/>
      <c r="AL84" s="530"/>
      <c r="AM84" s="530"/>
      <c r="AN84" s="530"/>
      <c r="AO84" s="530"/>
      <c r="AP84" s="530"/>
      <c r="AQ84" s="530"/>
    </row>
    <row r="85" spans="1:43" x14ac:dyDescent="0.25">
      <c r="A85" s="8" t="s">
        <v>8</v>
      </c>
      <c r="B85" s="568">
        <v>2422484662.5999999</v>
      </c>
      <c r="C85" s="568">
        <v>4504417691.4799995</v>
      </c>
      <c r="D85" s="568">
        <v>0</v>
      </c>
      <c r="E85" s="568">
        <v>1484232501.48</v>
      </c>
      <c r="F85" s="568">
        <v>270691529.76999998</v>
      </c>
      <c r="G85" s="568">
        <v>8681826385.3299999</v>
      </c>
      <c r="I85" s="530"/>
      <c r="J85" s="530"/>
      <c r="K85" s="530"/>
      <c r="L85" s="530"/>
      <c r="M85" s="530"/>
      <c r="N85" s="530"/>
      <c r="O85" s="530"/>
      <c r="P85" s="530"/>
      <c r="Q85" s="530"/>
      <c r="R85" s="530"/>
      <c r="S85" s="530"/>
      <c r="T85" s="530"/>
      <c r="U85" s="530"/>
      <c r="V85" s="530"/>
      <c r="W85" s="530"/>
      <c r="X85" s="530"/>
      <c r="Y85" s="530"/>
      <c r="Z85" s="530"/>
      <c r="AA85" s="530"/>
      <c r="AB85" s="530"/>
      <c r="AC85" s="530"/>
      <c r="AD85" s="530"/>
      <c r="AE85" s="530"/>
      <c r="AF85" s="530"/>
      <c r="AG85" s="589"/>
      <c r="AH85" s="530"/>
      <c r="AI85" s="530"/>
      <c r="AJ85" s="530"/>
      <c r="AK85" s="530"/>
      <c r="AL85" s="530"/>
      <c r="AM85" s="530"/>
      <c r="AN85" s="530"/>
      <c r="AO85" s="530"/>
      <c r="AP85" s="530"/>
      <c r="AQ85" s="530"/>
    </row>
    <row r="86" spans="1:43" x14ac:dyDescent="0.25">
      <c r="A86" s="8" t="s">
        <v>9</v>
      </c>
      <c r="B86" s="568">
        <v>862362.30000000016</v>
      </c>
      <c r="C86" s="568">
        <v>1647969.9199999997</v>
      </c>
      <c r="D86" s="568">
        <v>0</v>
      </c>
      <c r="E86" s="568">
        <v>-2257770.23</v>
      </c>
      <c r="F86" s="568">
        <v>89816.19</v>
      </c>
      <c r="G86" s="568">
        <v>342378.17999999976</v>
      </c>
      <c r="I86" s="590"/>
      <c r="J86" s="530"/>
      <c r="K86" s="530"/>
      <c r="L86" s="530"/>
      <c r="M86" s="530"/>
      <c r="N86" s="530"/>
      <c r="O86" s="530"/>
      <c r="P86" s="530"/>
      <c r="Q86" s="530"/>
      <c r="R86" s="530"/>
      <c r="S86" s="530"/>
      <c r="T86" s="530"/>
      <c r="U86" s="530"/>
      <c r="V86" s="530"/>
      <c r="W86" s="530"/>
      <c r="X86" s="530"/>
      <c r="Y86" s="530"/>
      <c r="Z86" s="530"/>
      <c r="AA86" s="530"/>
      <c r="AB86" s="530"/>
      <c r="AC86" s="530"/>
      <c r="AD86" s="530"/>
      <c r="AE86" s="530"/>
      <c r="AF86" s="530"/>
      <c r="AG86" s="589"/>
      <c r="AH86" s="530"/>
      <c r="AI86" s="530"/>
      <c r="AJ86" s="530"/>
      <c r="AK86" s="530"/>
      <c r="AL86" s="530"/>
      <c r="AM86" s="530"/>
      <c r="AN86" s="530"/>
      <c r="AO86" s="530"/>
      <c r="AP86" s="530"/>
      <c r="AQ86" s="530"/>
    </row>
    <row r="87" spans="1:43" x14ac:dyDescent="0.25">
      <c r="A87" s="8" t="s">
        <v>10</v>
      </c>
      <c r="B87" s="568">
        <v>-34034.349999999948</v>
      </c>
      <c r="C87" s="568">
        <v>-35724.969999999914</v>
      </c>
      <c r="D87" s="568">
        <v>0</v>
      </c>
      <c r="E87" s="568">
        <v>36192.429999999935</v>
      </c>
      <c r="F87" s="568">
        <v>-5582.9000000000015</v>
      </c>
      <c r="G87" s="568">
        <v>-39149.789999999928</v>
      </c>
      <c r="I87" s="590"/>
      <c r="J87" s="590"/>
      <c r="K87" s="590"/>
      <c r="L87" s="590"/>
      <c r="M87" s="590"/>
      <c r="N87" s="590"/>
      <c r="O87" s="590"/>
      <c r="P87" s="530"/>
      <c r="Q87" s="530"/>
      <c r="R87" s="530"/>
      <c r="S87" s="530"/>
      <c r="T87" s="530"/>
      <c r="U87" s="530"/>
      <c r="V87" s="530"/>
      <c r="W87" s="530"/>
      <c r="X87" s="530"/>
      <c r="Y87" s="530"/>
      <c r="Z87" s="530"/>
      <c r="AA87" s="530"/>
      <c r="AB87" s="530"/>
      <c r="AC87" s="530"/>
      <c r="AD87" s="530"/>
      <c r="AE87" s="530"/>
      <c r="AF87" s="530"/>
      <c r="AG87" s="589"/>
      <c r="AH87" s="530"/>
      <c r="AI87" s="530"/>
      <c r="AJ87" s="530"/>
      <c r="AK87" s="530"/>
      <c r="AL87" s="530"/>
      <c r="AM87" s="530"/>
      <c r="AN87" s="530"/>
      <c r="AO87" s="530"/>
      <c r="AP87" s="530"/>
      <c r="AQ87" s="530"/>
    </row>
    <row r="88" spans="1:43" x14ac:dyDescent="0.25">
      <c r="A88" s="8" t="s">
        <v>344</v>
      </c>
      <c r="B88" s="568">
        <v>0</v>
      </c>
      <c r="C88" s="568">
        <v>-63352910.290000007</v>
      </c>
      <c r="D88" s="568">
        <v>63352910.290000007</v>
      </c>
      <c r="E88" s="568">
        <v>0</v>
      </c>
      <c r="F88" s="568">
        <v>0</v>
      </c>
      <c r="G88" s="568">
        <v>0</v>
      </c>
      <c r="I88" s="590"/>
      <c r="J88" s="590"/>
      <c r="K88" s="590"/>
      <c r="L88" s="590"/>
      <c r="M88" s="590"/>
      <c r="N88" s="590"/>
      <c r="O88" s="590"/>
      <c r="P88" s="530"/>
      <c r="Q88" s="530"/>
      <c r="R88" s="530"/>
      <c r="S88" s="530"/>
      <c r="T88" s="530"/>
      <c r="U88" s="530"/>
      <c r="V88" s="530"/>
      <c r="W88" s="530"/>
      <c r="X88" s="530"/>
      <c r="Y88" s="530"/>
      <c r="Z88" s="530"/>
      <c r="AA88" s="530"/>
      <c r="AB88" s="530"/>
      <c r="AC88" s="530"/>
      <c r="AD88" s="530"/>
      <c r="AE88" s="530"/>
      <c r="AF88" s="530"/>
      <c r="AG88" s="530"/>
      <c r="AH88" s="530"/>
      <c r="AI88" s="530"/>
      <c r="AJ88" s="530"/>
      <c r="AK88" s="530"/>
      <c r="AL88" s="530"/>
      <c r="AM88" s="530"/>
      <c r="AN88" s="530"/>
      <c r="AO88" s="530"/>
      <c r="AP88" s="530"/>
      <c r="AQ88" s="530"/>
    </row>
    <row r="89" spans="1:43" x14ac:dyDescent="0.25">
      <c r="A89" s="8" t="s">
        <v>11</v>
      </c>
      <c r="B89" s="568">
        <v>1937.13</v>
      </c>
      <c r="C89" s="568">
        <v>3655.33</v>
      </c>
      <c r="D89" s="568">
        <v>0</v>
      </c>
      <c r="E89" s="568">
        <v>1296.29</v>
      </c>
      <c r="F89" s="568">
        <v>214.33</v>
      </c>
      <c r="G89" s="568">
        <v>7103.08</v>
      </c>
      <c r="I89" s="590"/>
      <c r="J89" s="590"/>
      <c r="K89" s="590"/>
      <c r="L89" s="590"/>
      <c r="M89" s="590"/>
      <c r="N89" s="590"/>
      <c r="O89" s="590"/>
      <c r="P89" s="530"/>
      <c r="Q89" s="530"/>
      <c r="R89" s="530"/>
      <c r="S89" s="530"/>
      <c r="T89" s="530"/>
      <c r="U89" s="530"/>
      <c r="V89" s="530"/>
      <c r="W89" s="530"/>
      <c r="X89" s="530"/>
      <c r="Y89" s="530"/>
      <c r="Z89" s="530"/>
      <c r="AA89" s="530"/>
      <c r="AB89" s="530"/>
      <c r="AC89" s="530"/>
      <c r="AD89" s="530"/>
      <c r="AE89" s="530"/>
      <c r="AF89" s="530"/>
      <c r="AG89" s="530"/>
      <c r="AH89" s="530"/>
      <c r="AI89" s="530"/>
      <c r="AJ89" s="530"/>
      <c r="AK89" s="530"/>
      <c r="AL89" s="530"/>
      <c r="AM89" s="530"/>
      <c r="AN89" s="530"/>
      <c r="AO89" s="530"/>
      <c r="AP89" s="530"/>
      <c r="AQ89" s="530"/>
    </row>
    <row r="90" spans="1:43" x14ac:dyDescent="0.25">
      <c r="A90" s="8" t="s">
        <v>12</v>
      </c>
      <c r="B90" s="568">
        <v>-214751.44999999972</v>
      </c>
      <c r="C90" s="568">
        <v>-7388369.1699999999</v>
      </c>
      <c r="D90" s="568">
        <v>0</v>
      </c>
      <c r="E90" s="568">
        <v>-1434990.2699999998</v>
      </c>
      <c r="F90" s="568">
        <v>16225.940000000002</v>
      </c>
      <c r="G90" s="568">
        <v>-9021884.9499999993</v>
      </c>
      <c r="I90" s="590"/>
      <c r="J90" s="590"/>
      <c r="K90" s="590"/>
      <c r="L90" s="590"/>
      <c r="M90" s="590"/>
      <c r="N90" s="590"/>
      <c r="O90" s="590"/>
      <c r="P90" s="530"/>
      <c r="Q90" s="530"/>
      <c r="R90" s="530"/>
      <c r="S90" s="530"/>
      <c r="T90" s="530"/>
      <c r="U90" s="530"/>
      <c r="V90" s="530"/>
      <c r="W90" s="530"/>
      <c r="X90" s="530"/>
      <c r="Y90" s="530"/>
      <c r="Z90" s="530"/>
      <c r="AA90" s="530"/>
      <c r="AB90" s="530"/>
      <c r="AC90" s="530"/>
      <c r="AD90" s="530"/>
      <c r="AE90" s="530"/>
      <c r="AF90" s="530"/>
      <c r="AG90" s="530"/>
      <c r="AH90" s="530"/>
      <c r="AI90" s="530"/>
      <c r="AJ90" s="530"/>
      <c r="AK90" s="530"/>
      <c r="AL90" s="530"/>
      <c r="AM90" s="530"/>
      <c r="AN90" s="530"/>
      <c r="AO90" s="530"/>
      <c r="AP90" s="530"/>
      <c r="AQ90" s="530"/>
    </row>
    <row r="91" spans="1:43" x14ac:dyDescent="0.25">
      <c r="A91" s="8" t="s">
        <v>340</v>
      </c>
      <c r="B91" s="568">
        <v>303794.97999999928</v>
      </c>
      <c r="C91" s="568">
        <v>276152.46999999997</v>
      </c>
      <c r="D91" s="568">
        <v>0</v>
      </c>
      <c r="E91" s="568">
        <v>3552280.56</v>
      </c>
      <c r="F91" s="568">
        <v>-256704.87</v>
      </c>
      <c r="G91" s="568">
        <v>3875523.1399999992</v>
      </c>
      <c r="I91" s="590"/>
      <c r="J91" s="590"/>
      <c r="K91" s="590"/>
      <c r="L91" s="590"/>
      <c r="M91" s="590"/>
      <c r="N91" s="590"/>
      <c r="O91" s="590"/>
      <c r="P91" s="530"/>
      <c r="Q91" s="530"/>
      <c r="R91" s="530"/>
      <c r="S91" s="530"/>
      <c r="T91" s="530"/>
      <c r="U91" s="530"/>
      <c r="V91" s="530"/>
      <c r="W91" s="530"/>
      <c r="X91" s="530"/>
      <c r="Y91" s="530"/>
      <c r="Z91" s="530"/>
      <c r="AA91" s="530"/>
      <c r="AB91" s="530"/>
      <c r="AC91" s="530"/>
      <c r="AD91" s="530"/>
      <c r="AE91" s="530"/>
      <c r="AF91" s="530"/>
      <c r="AG91" s="530"/>
      <c r="AH91" s="530"/>
      <c r="AI91" s="530"/>
      <c r="AJ91" s="530"/>
      <c r="AK91" s="530"/>
      <c r="AL91" s="530"/>
      <c r="AM91" s="530"/>
      <c r="AN91" s="530"/>
      <c r="AO91" s="530"/>
      <c r="AP91" s="530"/>
      <c r="AQ91" s="530"/>
    </row>
    <row r="92" spans="1:43" x14ac:dyDescent="0.25">
      <c r="A92" s="8" t="s">
        <v>13</v>
      </c>
      <c r="B92" s="568">
        <v>-2084500050.7699997</v>
      </c>
      <c r="C92" s="568">
        <v>-4567924215.5900002</v>
      </c>
      <c r="D92" s="568">
        <v>0</v>
      </c>
      <c r="E92" s="568">
        <v>-1490709684.1100001</v>
      </c>
      <c r="F92" s="568">
        <v>-277328942.80000001</v>
      </c>
      <c r="G92" s="568">
        <v>-8420462893.2699995</v>
      </c>
      <c r="I92" s="590"/>
      <c r="J92" s="590"/>
      <c r="K92" s="590"/>
      <c r="L92" s="590"/>
      <c r="M92" s="590"/>
      <c r="N92" s="590"/>
      <c r="O92" s="590"/>
      <c r="P92" s="530"/>
      <c r="Q92" s="530"/>
      <c r="R92" s="530"/>
      <c r="S92" s="530"/>
      <c r="T92" s="530"/>
      <c r="U92" s="530"/>
      <c r="V92" s="530"/>
      <c r="W92" s="530"/>
      <c r="X92" s="530"/>
      <c r="Y92" s="530"/>
      <c r="Z92" s="530"/>
      <c r="AA92" s="530"/>
      <c r="AB92" s="530"/>
      <c r="AC92" s="530"/>
      <c r="AD92" s="530"/>
      <c r="AE92" s="530"/>
      <c r="AF92" s="530"/>
      <c r="AG92" s="530"/>
      <c r="AH92" s="530"/>
      <c r="AI92" s="530"/>
      <c r="AJ92" s="530"/>
      <c r="AK92" s="530"/>
      <c r="AL92" s="530"/>
      <c r="AM92" s="530"/>
      <c r="AN92" s="530"/>
      <c r="AO92" s="530"/>
      <c r="AP92" s="530"/>
      <c r="AQ92" s="530"/>
    </row>
    <row r="93" spans="1:43" x14ac:dyDescent="0.25">
      <c r="A93" s="8" t="s">
        <v>314</v>
      </c>
      <c r="B93" s="568">
        <v>2076111.83</v>
      </c>
      <c r="C93" s="568">
        <v>67796564.00000006</v>
      </c>
      <c r="D93" s="568">
        <v>0</v>
      </c>
      <c r="E93" s="568">
        <v>5135366.7300000004</v>
      </c>
      <c r="F93" s="568">
        <v>0</v>
      </c>
      <c r="G93" s="568">
        <v>75008042.560000062</v>
      </c>
      <c r="I93" s="590"/>
      <c r="J93" s="590"/>
      <c r="K93" s="590"/>
      <c r="L93" s="590"/>
      <c r="M93" s="590"/>
      <c r="N93" s="590"/>
      <c r="O93" s="590"/>
      <c r="P93" s="530"/>
      <c r="Q93" s="530"/>
      <c r="R93" s="530"/>
      <c r="S93" s="530"/>
      <c r="T93" s="530"/>
      <c r="U93" s="530"/>
      <c r="V93" s="530"/>
      <c r="W93" s="530"/>
      <c r="X93" s="530"/>
      <c r="Y93" s="530"/>
      <c r="Z93" s="530"/>
      <c r="AA93" s="530"/>
      <c r="AB93" s="530"/>
      <c r="AC93" s="530"/>
      <c r="AD93" s="530"/>
      <c r="AE93" s="530"/>
      <c r="AF93" s="530"/>
      <c r="AG93" s="530"/>
      <c r="AH93" s="530"/>
      <c r="AI93" s="530"/>
      <c r="AJ93" s="530"/>
      <c r="AK93" s="530"/>
      <c r="AL93" s="530"/>
      <c r="AM93" s="530"/>
      <c r="AN93" s="530"/>
      <c r="AO93" s="530"/>
      <c r="AP93" s="530"/>
      <c r="AQ93" s="530"/>
    </row>
    <row r="94" spans="1:43" x14ac:dyDescent="0.25">
      <c r="A94" s="8" t="s">
        <v>14</v>
      </c>
      <c r="B94" s="568">
        <v>-81297169.625552207</v>
      </c>
      <c r="C94" s="568">
        <v>-25883355.600258544</v>
      </c>
      <c r="D94" s="568">
        <v>0</v>
      </c>
      <c r="E94" s="568">
        <v>-15517940.618856959</v>
      </c>
      <c r="F94" s="568">
        <v>-10830304.395332297</v>
      </c>
      <c r="G94" s="568">
        <v>-133528770.23999999</v>
      </c>
      <c r="I94" s="530"/>
      <c r="J94" s="590"/>
      <c r="K94" s="590"/>
      <c r="L94" s="590"/>
      <c r="M94" s="590"/>
      <c r="N94" s="590"/>
      <c r="O94" s="590"/>
      <c r="P94" s="530"/>
      <c r="Q94" s="530"/>
      <c r="R94" s="530"/>
      <c r="S94" s="530"/>
      <c r="T94" s="530"/>
      <c r="U94" s="530"/>
      <c r="V94" s="530"/>
      <c r="W94" s="530"/>
      <c r="X94" s="530"/>
      <c r="Y94" s="530"/>
      <c r="Z94" s="530"/>
      <c r="AA94" s="530"/>
      <c r="AB94" s="530"/>
      <c r="AC94" s="530"/>
      <c r="AD94" s="530"/>
      <c r="AE94" s="530"/>
      <c r="AF94" s="530"/>
      <c r="AG94" s="530"/>
      <c r="AH94" s="530"/>
      <c r="AI94" s="530"/>
      <c r="AJ94" s="530"/>
      <c r="AK94" s="530"/>
      <c r="AL94" s="530"/>
      <c r="AM94" s="530"/>
      <c r="AN94" s="530"/>
      <c r="AO94" s="530"/>
      <c r="AP94" s="530"/>
      <c r="AQ94" s="530"/>
    </row>
    <row r="95" spans="1:43" x14ac:dyDescent="0.25">
      <c r="A95" s="580" t="s">
        <v>441</v>
      </c>
      <c r="B95" s="568">
        <v>0</v>
      </c>
      <c r="C95" s="568">
        <v>0</v>
      </c>
      <c r="D95" s="568">
        <v>0</v>
      </c>
      <c r="E95" s="568">
        <v>0</v>
      </c>
      <c r="F95" s="568">
        <v>0</v>
      </c>
      <c r="G95" s="568">
        <v>0</v>
      </c>
      <c r="I95" s="590"/>
      <c r="J95" s="530"/>
      <c r="K95" s="530"/>
      <c r="L95" s="530"/>
      <c r="M95" s="530"/>
      <c r="N95" s="530"/>
      <c r="O95" s="530"/>
      <c r="P95" s="530"/>
      <c r="Q95" s="530"/>
      <c r="R95" s="530"/>
      <c r="S95" s="530"/>
      <c r="T95" s="530"/>
      <c r="U95" s="530"/>
      <c r="V95" s="530"/>
      <c r="W95" s="530"/>
      <c r="X95" s="530"/>
      <c r="Y95" s="530"/>
      <c r="Z95" s="530"/>
      <c r="AA95" s="530"/>
      <c r="AB95" s="530"/>
      <c r="AC95" s="530"/>
      <c r="AD95" s="530"/>
      <c r="AE95" s="530"/>
      <c r="AF95" s="530"/>
      <c r="AG95" s="530"/>
      <c r="AH95" s="530"/>
      <c r="AI95" s="530"/>
      <c r="AJ95" s="530"/>
      <c r="AK95" s="530"/>
      <c r="AL95" s="530"/>
      <c r="AM95" s="530"/>
      <c r="AN95" s="530"/>
      <c r="AO95" s="530"/>
      <c r="AP95" s="530"/>
      <c r="AQ95" s="530"/>
    </row>
    <row r="96" spans="1:43" x14ac:dyDescent="0.25">
      <c r="A96" s="8" t="s">
        <v>15</v>
      </c>
      <c r="B96" s="568">
        <v>25211978.920000002</v>
      </c>
      <c r="C96" s="568">
        <v>10890328.060000001</v>
      </c>
      <c r="D96" s="568">
        <v>0</v>
      </c>
      <c r="E96" s="568">
        <v>669062.1</v>
      </c>
      <c r="F96" s="568">
        <v>1895772.3600000003</v>
      </c>
      <c r="G96" s="568">
        <v>38667141.440000005</v>
      </c>
      <c r="I96" s="590"/>
      <c r="J96" s="590"/>
      <c r="K96" s="590"/>
      <c r="L96" s="590"/>
      <c r="M96" s="590"/>
      <c r="N96" s="590"/>
      <c r="O96" s="590"/>
      <c r="P96" s="530"/>
      <c r="Q96" s="530"/>
      <c r="R96" s="530"/>
      <c r="S96" s="530"/>
      <c r="T96" s="530"/>
      <c r="U96" s="530"/>
      <c r="V96" s="530"/>
      <c r="W96" s="530"/>
      <c r="X96" s="530"/>
      <c r="Y96" s="530"/>
      <c r="Z96" s="530"/>
      <c r="AA96" s="530"/>
      <c r="AB96" s="530"/>
      <c r="AC96" s="530"/>
      <c r="AD96" s="530"/>
      <c r="AE96" s="530"/>
      <c r="AF96" s="530"/>
      <c r="AG96" s="530"/>
      <c r="AH96" s="530"/>
      <c r="AI96" s="530"/>
      <c r="AJ96" s="530"/>
      <c r="AK96" s="530"/>
      <c r="AL96" s="530"/>
      <c r="AM96" s="530"/>
      <c r="AN96" s="530"/>
      <c r="AO96" s="530"/>
      <c r="AP96" s="530"/>
      <c r="AQ96" s="530"/>
    </row>
    <row r="97" spans="1:43" ht="13.8" thickBot="1" x14ac:dyDescent="0.3">
      <c r="A97" s="8" t="s">
        <v>339</v>
      </c>
      <c r="B97" s="568">
        <v>0</v>
      </c>
      <c r="C97" s="568">
        <v>0</v>
      </c>
      <c r="D97" s="568">
        <v>0</v>
      </c>
      <c r="E97" s="568">
        <v>0</v>
      </c>
      <c r="F97" s="568">
        <v>0</v>
      </c>
      <c r="G97" s="568">
        <v>0</v>
      </c>
      <c r="I97" s="590"/>
      <c r="J97" s="590"/>
      <c r="K97" s="590"/>
      <c r="L97" s="590"/>
      <c r="M97" s="590"/>
      <c r="N97" s="590"/>
      <c r="O97" s="590"/>
      <c r="P97" s="530"/>
      <c r="Q97" s="530"/>
      <c r="R97" s="530"/>
      <c r="S97" s="530"/>
      <c r="T97" s="530"/>
      <c r="U97" s="530"/>
      <c r="V97" s="530"/>
      <c r="W97" s="530"/>
      <c r="X97" s="530"/>
      <c r="Y97" s="530"/>
      <c r="Z97" s="530"/>
      <c r="AA97" s="530"/>
      <c r="AB97" s="530"/>
      <c r="AC97" s="530"/>
      <c r="AD97" s="530"/>
      <c r="AE97" s="530"/>
      <c r="AF97" s="530"/>
      <c r="AG97" s="530"/>
      <c r="AH97" s="530"/>
      <c r="AI97" s="530"/>
      <c r="AJ97" s="530"/>
      <c r="AK97" s="530"/>
      <c r="AL97" s="530"/>
      <c r="AM97" s="530"/>
      <c r="AN97" s="530"/>
      <c r="AO97" s="530"/>
      <c r="AP97" s="530"/>
      <c r="AQ97" s="530"/>
    </row>
    <row r="98" spans="1:43" ht="14.4" thickTop="1" thickBot="1" x14ac:dyDescent="0.3">
      <c r="A98" s="31" t="s">
        <v>29</v>
      </c>
      <c r="B98" s="587">
        <v>5458896184.8554487</v>
      </c>
      <c r="C98" s="587">
        <v>273574516.57636166</v>
      </c>
      <c r="D98" s="587">
        <v>1995053799.41732</v>
      </c>
      <c r="E98" s="587">
        <v>71072704.58638601</v>
      </c>
      <c r="F98" s="587">
        <v>395607221.90763271</v>
      </c>
      <c r="G98" s="587">
        <v>8193525926.0631533</v>
      </c>
      <c r="I98" s="590"/>
      <c r="J98" s="590"/>
      <c r="K98" s="590"/>
      <c r="L98" s="590"/>
      <c r="M98" s="590"/>
      <c r="N98" s="590"/>
      <c r="O98" s="590"/>
      <c r="P98" s="530"/>
      <c r="Q98" s="530"/>
      <c r="R98" s="530"/>
      <c r="S98" s="530"/>
      <c r="T98" s="530"/>
      <c r="U98" s="530"/>
      <c r="V98" s="530"/>
      <c r="W98" s="530"/>
      <c r="X98" s="530"/>
      <c r="Y98" s="530"/>
      <c r="Z98" s="530"/>
      <c r="AA98" s="530"/>
      <c r="AB98" s="530"/>
      <c r="AC98" s="530"/>
      <c r="AD98" s="530"/>
      <c r="AE98" s="530"/>
      <c r="AF98" s="530"/>
      <c r="AG98" s="530"/>
      <c r="AH98" s="530"/>
      <c r="AI98" s="530"/>
      <c r="AJ98" s="530"/>
      <c r="AK98" s="530"/>
      <c r="AL98" s="530"/>
      <c r="AM98" s="530"/>
      <c r="AN98" s="530"/>
      <c r="AO98" s="530"/>
      <c r="AP98" s="530"/>
      <c r="AQ98" s="530"/>
    </row>
    <row r="99" spans="1:43" ht="13.8" thickTop="1" x14ac:dyDescent="0.25">
      <c r="B99" s="568"/>
      <c r="C99" s="568"/>
      <c r="D99" s="568"/>
      <c r="E99" s="568"/>
      <c r="F99" s="568"/>
      <c r="G99" s="568"/>
      <c r="H99" s="74"/>
      <c r="I99" s="74"/>
      <c r="J99" s="590"/>
      <c r="K99" s="590"/>
      <c r="L99" s="590"/>
      <c r="M99" s="590"/>
      <c r="N99" s="590"/>
      <c r="O99" s="590"/>
      <c r="P99" s="530"/>
      <c r="Q99" s="530"/>
      <c r="R99" s="530"/>
      <c r="S99" s="530"/>
      <c r="T99" s="530"/>
      <c r="U99" s="530"/>
      <c r="V99" s="530"/>
      <c r="W99" s="530"/>
      <c r="X99" s="530"/>
      <c r="Y99" s="530"/>
      <c r="Z99" s="530"/>
      <c r="AA99" s="530"/>
      <c r="AB99" s="530"/>
      <c r="AC99" s="530"/>
      <c r="AD99" s="530"/>
      <c r="AE99" s="530"/>
      <c r="AF99" s="530"/>
      <c r="AG99" s="530"/>
      <c r="AH99" s="530"/>
      <c r="AI99" s="530"/>
      <c r="AJ99" s="530"/>
      <c r="AK99" s="530"/>
      <c r="AL99" s="530"/>
      <c r="AM99" s="530"/>
      <c r="AN99" s="530"/>
      <c r="AO99" s="530"/>
      <c r="AP99" s="530"/>
      <c r="AQ99" s="530"/>
    </row>
    <row r="100" spans="1:43" x14ac:dyDescent="0.25">
      <c r="B100" s="568"/>
      <c r="C100" s="568"/>
      <c r="D100" s="568"/>
      <c r="E100" s="568"/>
      <c r="F100" s="568"/>
      <c r="G100" s="568"/>
      <c r="I100" s="530"/>
      <c r="J100" s="74"/>
      <c r="K100" s="530"/>
      <c r="L100" s="530"/>
      <c r="M100" s="530"/>
      <c r="N100" s="530"/>
      <c r="O100" s="530"/>
      <c r="P100" s="530"/>
      <c r="Q100" s="530"/>
      <c r="R100" s="530"/>
      <c r="S100" s="530"/>
      <c r="T100" s="530"/>
      <c r="U100" s="530"/>
      <c r="V100" s="530"/>
      <c r="W100" s="530"/>
      <c r="X100" s="530"/>
      <c r="Y100" s="530"/>
      <c r="Z100" s="530"/>
      <c r="AA100" s="530"/>
      <c r="AB100" s="530"/>
      <c r="AC100" s="530"/>
      <c r="AD100" s="530"/>
      <c r="AE100" s="530"/>
      <c r="AF100" s="530"/>
      <c r="AG100" s="530"/>
      <c r="AH100" s="530"/>
      <c r="AI100" s="530"/>
      <c r="AJ100" s="530"/>
      <c r="AK100" s="530"/>
      <c r="AL100" s="530"/>
      <c r="AM100" s="530"/>
      <c r="AN100" s="530"/>
      <c r="AO100" s="530"/>
      <c r="AP100" s="530"/>
      <c r="AQ100" s="530"/>
    </row>
    <row r="101" spans="1:43" x14ac:dyDescent="0.25">
      <c r="B101" s="568"/>
      <c r="C101" s="568"/>
      <c r="D101" s="568"/>
      <c r="E101" s="568"/>
      <c r="F101" s="568"/>
      <c r="G101" s="568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30"/>
      <c r="AC101" s="530"/>
      <c r="AD101" s="530"/>
      <c r="AE101" s="585"/>
      <c r="AF101" s="530"/>
      <c r="AG101" s="530"/>
      <c r="AH101" s="530"/>
      <c r="AI101" s="530"/>
      <c r="AJ101" s="530"/>
      <c r="AK101" s="530"/>
      <c r="AL101" s="530"/>
      <c r="AM101" s="530"/>
      <c r="AN101" s="530"/>
      <c r="AO101" s="530"/>
      <c r="AP101" s="530"/>
      <c r="AQ101" s="530"/>
    </row>
    <row r="102" spans="1:43" x14ac:dyDescent="0.25">
      <c r="B102" s="568"/>
      <c r="C102" s="568"/>
      <c r="D102" s="568"/>
      <c r="E102" s="568"/>
      <c r="F102" s="568"/>
      <c r="G102" s="568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  <c r="AA102" s="530"/>
      <c r="AB102" s="530"/>
      <c r="AC102" s="530"/>
      <c r="AD102" s="530"/>
      <c r="AE102" s="530"/>
      <c r="AF102" s="530"/>
      <c r="AG102" s="530"/>
      <c r="AH102" s="530"/>
      <c r="AI102" s="530"/>
      <c r="AJ102" s="530"/>
      <c r="AK102" s="530"/>
      <c r="AL102" s="530"/>
      <c r="AM102" s="530"/>
      <c r="AN102" s="530"/>
      <c r="AO102" s="530"/>
      <c r="AP102" s="530"/>
      <c r="AQ102" s="530"/>
    </row>
    <row r="103" spans="1:43" x14ac:dyDescent="0.25">
      <c r="B103" s="568"/>
      <c r="C103" s="568"/>
      <c r="D103" s="568"/>
      <c r="E103" s="568"/>
      <c r="F103" s="568"/>
      <c r="G103" s="568"/>
    </row>
    <row r="104" spans="1:43" x14ac:dyDescent="0.25">
      <c r="C104" s="568"/>
      <c r="D104" s="568"/>
      <c r="E104" s="568"/>
      <c r="F104" s="568"/>
      <c r="G104" s="568"/>
    </row>
    <row r="105" spans="1:43" x14ac:dyDescent="0.25">
      <c r="B105" s="568"/>
      <c r="C105" s="568"/>
      <c r="D105" s="568"/>
      <c r="E105" s="568"/>
      <c r="F105" s="568"/>
      <c r="G105" s="568"/>
    </row>
    <row r="106" spans="1:43" x14ac:dyDescent="0.25">
      <c r="B106" s="568"/>
      <c r="C106" s="568"/>
      <c r="D106" s="568"/>
      <c r="E106" s="568"/>
      <c r="F106" s="568"/>
      <c r="G106" s="568"/>
    </row>
    <row r="107" spans="1:43" x14ac:dyDescent="0.25">
      <c r="B107" s="568"/>
      <c r="C107" s="568"/>
      <c r="D107" s="568"/>
      <c r="E107" s="568"/>
      <c r="F107" s="568"/>
      <c r="G107" s="568"/>
    </row>
    <row r="108" spans="1:43" x14ac:dyDescent="0.25">
      <c r="B108" s="568"/>
      <c r="C108" s="568"/>
      <c r="D108" s="568"/>
      <c r="E108" s="568"/>
      <c r="F108" s="568"/>
      <c r="G108" s="568"/>
    </row>
    <row r="109" spans="1:43" x14ac:dyDescent="0.25">
      <c r="B109" s="568"/>
      <c r="C109" s="568"/>
      <c r="D109" s="568"/>
      <c r="E109" s="568"/>
      <c r="F109" s="568"/>
      <c r="G109" s="568"/>
    </row>
    <row r="110" spans="1:43" x14ac:dyDescent="0.25">
      <c r="B110" s="568"/>
      <c r="C110" s="568"/>
      <c r="D110" s="568"/>
      <c r="E110" s="568"/>
      <c r="F110" s="568"/>
      <c r="G110" s="568"/>
    </row>
    <row r="111" spans="1:43" x14ac:dyDescent="0.25">
      <c r="B111" s="568"/>
      <c r="C111" s="568"/>
      <c r="D111" s="568"/>
      <c r="E111" s="568"/>
      <c r="F111" s="568"/>
      <c r="G111" s="568"/>
    </row>
    <row r="112" spans="1:43" x14ac:dyDescent="0.25">
      <c r="B112" s="568"/>
      <c r="C112" s="568"/>
      <c r="D112" s="568"/>
      <c r="E112" s="568"/>
      <c r="F112" s="568"/>
      <c r="G112" s="568"/>
      <c r="H112" s="30"/>
    </row>
    <row r="113" spans="2:8" x14ac:dyDescent="0.25">
      <c r="B113" s="568"/>
      <c r="C113" s="568"/>
      <c r="D113" s="568"/>
      <c r="E113" s="568"/>
      <c r="F113" s="568"/>
      <c r="G113" s="568"/>
      <c r="H113" s="30"/>
    </row>
    <row r="114" spans="2:8" x14ac:dyDescent="0.25">
      <c r="B114" s="568"/>
      <c r="C114" s="568"/>
      <c r="D114" s="568"/>
      <c r="E114" s="568"/>
      <c r="F114" s="568"/>
      <c r="G114" s="568"/>
      <c r="H114" s="30"/>
    </row>
    <row r="115" spans="2:8" x14ac:dyDescent="0.25">
      <c r="B115" s="568"/>
      <c r="C115" s="568"/>
      <c r="D115" s="568"/>
      <c r="E115" s="568"/>
      <c r="F115" s="568"/>
      <c r="G115" s="568"/>
      <c r="H115" s="30"/>
    </row>
    <row r="116" spans="2:8" x14ac:dyDescent="0.25">
      <c r="B116" s="568"/>
      <c r="C116" s="568"/>
      <c r="D116" s="568"/>
      <c r="E116" s="568"/>
      <c r="F116" s="568"/>
      <c r="G116" s="568"/>
      <c r="H116" s="30"/>
    </row>
    <row r="117" spans="2:8" x14ac:dyDescent="0.25">
      <c r="B117" s="568"/>
      <c r="C117" s="568"/>
      <c r="D117" s="568"/>
      <c r="E117" s="568"/>
      <c r="F117" s="568"/>
      <c r="G117" s="568"/>
      <c r="H117" s="30"/>
    </row>
    <row r="118" spans="2:8" x14ac:dyDescent="0.25">
      <c r="B118" s="568"/>
      <c r="C118" s="568"/>
      <c r="D118" s="568"/>
      <c r="E118" s="568"/>
      <c r="F118" s="568"/>
      <c r="G118" s="568"/>
      <c r="H118" s="30"/>
    </row>
    <row r="119" spans="2:8" x14ac:dyDescent="0.25">
      <c r="B119" s="568"/>
      <c r="C119" s="568"/>
      <c r="D119" s="568"/>
      <c r="E119" s="568"/>
      <c r="F119" s="568"/>
      <c r="G119" s="568"/>
      <c r="H119" s="30"/>
    </row>
    <row r="120" spans="2:8" x14ac:dyDescent="0.25">
      <c r="B120" s="568"/>
      <c r="C120" s="568"/>
      <c r="D120" s="568"/>
      <c r="E120" s="568"/>
      <c r="F120" s="568"/>
      <c r="G120" s="568"/>
      <c r="H120" s="30"/>
    </row>
    <row r="121" spans="2:8" x14ac:dyDescent="0.25">
      <c r="B121" s="568"/>
      <c r="C121" s="568"/>
      <c r="D121" s="568"/>
      <c r="E121" s="568"/>
      <c r="F121" s="568"/>
      <c r="G121" s="568"/>
      <c r="H121" s="30"/>
    </row>
    <row r="122" spans="2:8" x14ac:dyDescent="0.25">
      <c r="B122" s="568"/>
      <c r="C122" s="568"/>
      <c r="D122" s="568"/>
      <c r="E122" s="568"/>
      <c r="F122" s="568"/>
      <c r="G122" s="568"/>
      <c r="H122" s="30"/>
    </row>
    <row r="123" spans="2:8" x14ac:dyDescent="0.25">
      <c r="B123" s="568"/>
      <c r="C123" s="568"/>
      <c r="D123" s="568"/>
      <c r="E123" s="568"/>
      <c r="F123" s="568"/>
      <c r="G123" s="568"/>
      <c r="H123" s="30"/>
    </row>
    <row r="124" spans="2:8" x14ac:dyDescent="0.25">
      <c r="B124" s="568"/>
      <c r="C124" s="568"/>
      <c r="D124" s="568"/>
      <c r="E124" s="568"/>
      <c r="F124" s="568"/>
      <c r="G124" s="568"/>
      <c r="H124" s="30"/>
    </row>
    <row r="125" spans="2:8" x14ac:dyDescent="0.25">
      <c r="C125" s="568"/>
      <c r="D125" s="568"/>
      <c r="E125" s="568"/>
      <c r="F125" s="568"/>
      <c r="G125" s="568"/>
      <c r="H125" s="30"/>
    </row>
    <row r="126" spans="2:8" x14ac:dyDescent="0.25">
      <c r="H126" s="30"/>
    </row>
  </sheetData>
  <mergeCells count="3">
    <mergeCell ref="A3:G3"/>
    <mergeCell ref="A1:G1"/>
    <mergeCell ref="A2:G2"/>
  </mergeCells>
  <phoneticPr fontId="0" type="noConversion"/>
  <pageMargins left="0.75" right="0.75" top="1" bottom="1" header="0.5" footer="0.5"/>
  <pageSetup scale="53" orientation="portrait" r:id="rId1"/>
  <headerFooter alignWithMargins="0">
    <oddHeader>&amp;RAppendix M04
2Q2016
Page &amp;P of &amp;N</oddHeader>
    <oddFooter>&amp;LUSAC&amp;CUnaudited&amp;RFebruary 1, 2016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100" workbookViewId="0">
      <pane ySplit="8" topLeftCell="A16" activePane="bottomLeft" state="frozenSplit"/>
      <selection pane="bottomLeft" activeCell="D76" activeCellId="7" sqref="D11 D18 D24 D42 D48 D54 D70 D76"/>
    </sheetView>
  </sheetViews>
  <sheetFormatPr defaultColWidth="9.109375" defaultRowHeight="13.2" x14ac:dyDescent="0.25"/>
  <cols>
    <col min="1" max="1" width="30.6640625" style="411" customWidth="1"/>
    <col min="2" max="2" width="33.6640625" style="411" customWidth="1"/>
    <col min="3" max="5" width="22.6640625" style="420" customWidth="1"/>
    <col min="6" max="16384" width="9.109375" style="411"/>
  </cols>
  <sheetData>
    <row r="1" spans="1:5" x14ac:dyDescent="0.25">
      <c r="A1" s="409" t="s">
        <v>53</v>
      </c>
      <c r="B1" s="409"/>
      <c r="C1" s="410"/>
      <c r="D1" s="410"/>
      <c r="E1" s="410"/>
    </row>
    <row r="2" spans="1:5" x14ac:dyDescent="0.25">
      <c r="A2" s="412" t="s">
        <v>86</v>
      </c>
      <c r="B2" s="412"/>
      <c r="C2" s="413"/>
      <c r="D2" s="413"/>
      <c r="E2" s="413"/>
    </row>
    <row r="3" spans="1:5" x14ac:dyDescent="0.25">
      <c r="A3" s="409" t="s">
        <v>337</v>
      </c>
      <c r="B3" s="409"/>
      <c r="C3" s="410"/>
      <c r="D3" s="410"/>
      <c r="E3" s="410"/>
    </row>
    <row r="4" spans="1:5" x14ac:dyDescent="0.25">
      <c r="A4" s="409" t="s">
        <v>88</v>
      </c>
      <c r="B4" s="409"/>
      <c r="C4" s="410"/>
      <c r="D4" s="410"/>
      <c r="E4" s="410"/>
    </row>
    <row r="5" spans="1:5" x14ac:dyDescent="0.25">
      <c r="A5" s="414" t="s">
        <v>338</v>
      </c>
      <c r="B5" s="414"/>
      <c r="C5" s="415"/>
      <c r="D5" s="415"/>
      <c r="E5" s="415"/>
    </row>
    <row r="7" spans="1:5" x14ac:dyDescent="0.25">
      <c r="B7" s="416" t="s">
        <v>30</v>
      </c>
      <c r="C7" s="417" t="s">
        <v>90</v>
      </c>
      <c r="D7" s="417" t="s">
        <v>188</v>
      </c>
      <c r="E7" s="417" t="s">
        <v>92</v>
      </c>
    </row>
    <row r="9" spans="1:5" x14ac:dyDescent="0.25">
      <c r="A9" s="418" t="s">
        <v>93</v>
      </c>
      <c r="B9" s="418" t="s">
        <v>34</v>
      </c>
      <c r="C9" s="419">
        <v>1547487512.5899999</v>
      </c>
      <c r="D9" s="419">
        <v>191559684.13</v>
      </c>
      <c r="E9" s="419">
        <v>1739047196.72</v>
      </c>
    </row>
    <row r="10" spans="1:5" x14ac:dyDescent="0.25">
      <c r="A10" s="418" t="s">
        <v>94</v>
      </c>
      <c r="B10" s="418" t="s">
        <v>35</v>
      </c>
      <c r="C10" s="420">
        <v>3087683524.0599999</v>
      </c>
      <c r="D10" s="420">
        <v>375184885.45999998</v>
      </c>
      <c r="E10" s="420">
        <v>3462868409.52</v>
      </c>
    </row>
    <row r="11" spans="1:5" x14ac:dyDescent="0.25">
      <c r="A11" s="418" t="s">
        <v>95</v>
      </c>
      <c r="B11" s="418" t="s">
        <v>36</v>
      </c>
      <c r="C11" s="420">
        <v>925518793.28999996</v>
      </c>
      <c r="D11" s="420">
        <v>124370279.95999999</v>
      </c>
      <c r="E11" s="420">
        <v>1049889073.25</v>
      </c>
    </row>
    <row r="12" spans="1:5" x14ac:dyDescent="0.25">
      <c r="A12" s="418" t="s">
        <v>96</v>
      </c>
      <c r="B12" s="418" t="s">
        <v>37</v>
      </c>
      <c r="C12" s="420">
        <v>57036169</v>
      </c>
      <c r="D12" s="420">
        <v>7596986.5300000003</v>
      </c>
      <c r="E12" s="420">
        <v>64633155.530000001</v>
      </c>
    </row>
    <row r="13" spans="1:5" x14ac:dyDescent="0.25">
      <c r="A13" s="418" t="s">
        <v>97</v>
      </c>
      <c r="B13" s="418" t="s">
        <v>38</v>
      </c>
      <c r="C13" s="420">
        <v>0</v>
      </c>
      <c r="D13" s="420">
        <v>0</v>
      </c>
      <c r="E13" s="420">
        <v>0</v>
      </c>
    </row>
    <row r="14" spans="1:5" x14ac:dyDescent="0.25">
      <c r="A14" s="421" t="s">
        <v>98</v>
      </c>
      <c r="B14" s="422"/>
      <c r="C14" s="423">
        <f>SUM(C9:C13)</f>
        <v>5617725998.9399996</v>
      </c>
      <c r="D14" s="423">
        <f>SUM(D9:D13)</f>
        <v>698711836.07999992</v>
      </c>
      <c r="E14" s="423">
        <f>SUM(E9:E13)</f>
        <v>6316437835.0199995</v>
      </c>
    </row>
    <row r="16" spans="1:5" x14ac:dyDescent="0.25">
      <c r="A16" s="418" t="s">
        <v>99</v>
      </c>
      <c r="B16" s="418" t="s">
        <v>100</v>
      </c>
      <c r="C16" s="420">
        <v>1098507.47</v>
      </c>
      <c r="D16" s="420">
        <v>154057.18</v>
      </c>
      <c r="E16" s="420">
        <v>1252564.6499999999</v>
      </c>
    </row>
    <row r="17" spans="1:5" x14ac:dyDescent="0.25">
      <c r="A17" s="418" t="s">
        <v>101</v>
      </c>
      <c r="B17" s="418" t="s">
        <v>102</v>
      </c>
      <c r="C17" s="420">
        <v>2185433.62</v>
      </c>
      <c r="D17" s="420">
        <v>302438.56</v>
      </c>
      <c r="E17" s="420">
        <v>2487872.1800000002</v>
      </c>
    </row>
    <row r="18" spans="1:5" x14ac:dyDescent="0.25">
      <c r="A18" s="418" t="s">
        <v>103</v>
      </c>
      <c r="B18" s="418" t="s">
        <v>104</v>
      </c>
      <c r="C18" s="420">
        <v>659996.12</v>
      </c>
      <c r="D18" s="420">
        <v>101156.91</v>
      </c>
      <c r="E18" s="420">
        <v>761153.03</v>
      </c>
    </row>
    <row r="19" spans="1:5" x14ac:dyDescent="0.25">
      <c r="A19" s="418" t="s">
        <v>105</v>
      </c>
      <c r="B19" s="418" t="s">
        <v>106</v>
      </c>
      <c r="C19" s="420">
        <v>37008.910000000003</v>
      </c>
      <c r="D19" s="420">
        <v>5667.21</v>
      </c>
      <c r="E19" s="420">
        <v>42676.12</v>
      </c>
    </row>
    <row r="20" spans="1:5" x14ac:dyDescent="0.25">
      <c r="A20" s="421" t="s">
        <v>107</v>
      </c>
      <c r="B20" s="422"/>
      <c r="C20" s="423">
        <f>SUM(C16:C19)</f>
        <v>3980946.12</v>
      </c>
      <c r="D20" s="423">
        <f>SUM(D16:D19)</f>
        <v>563319.86</v>
      </c>
      <c r="E20" s="423">
        <f>SUM(E16:E19)</f>
        <v>4544265.9800000004</v>
      </c>
    </row>
    <row r="22" spans="1:5" x14ac:dyDescent="0.25">
      <c r="A22" s="418" t="s">
        <v>108</v>
      </c>
      <c r="B22" s="418" t="s">
        <v>109</v>
      </c>
      <c r="C22" s="420">
        <v>681706.06</v>
      </c>
      <c r="D22" s="420">
        <v>74147.929999999993</v>
      </c>
      <c r="E22" s="420">
        <v>755853.99</v>
      </c>
    </row>
    <row r="23" spans="1:5" x14ac:dyDescent="0.25">
      <c r="A23" s="418" t="s">
        <v>110</v>
      </c>
      <c r="B23" s="418" t="s">
        <v>111</v>
      </c>
      <c r="C23" s="420">
        <v>1357718.18</v>
      </c>
      <c r="D23" s="420">
        <v>145346.16</v>
      </c>
      <c r="E23" s="420">
        <v>1503064.34</v>
      </c>
    </row>
    <row r="24" spans="1:5" x14ac:dyDescent="0.25">
      <c r="A24" s="418" t="s">
        <v>112</v>
      </c>
      <c r="B24" s="418" t="s">
        <v>113</v>
      </c>
      <c r="C24" s="420">
        <v>407969.57</v>
      </c>
      <c r="D24" s="420">
        <v>48169.07</v>
      </c>
      <c r="E24" s="420">
        <v>456138.64</v>
      </c>
    </row>
    <row r="25" spans="1:5" x14ac:dyDescent="0.25">
      <c r="A25" s="418" t="s">
        <v>114</v>
      </c>
      <c r="B25" s="418" t="s">
        <v>115</v>
      </c>
      <c r="C25" s="420">
        <v>24606.720000000001</v>
      </c>
      <c r="D25" s="420">
        <v>2949.69</v>
      </c>
      <c r="E25" s="420">
        <v>27556.41</v>
      </c>
    </row>
    <row r="26" spans="1:5" x14ac:dyDescent="0.25">
      <c r="A26" s="421" t="s">
        <v>116</v>
      </c>
      <c r="B26" s="422"/>
      <c r="C26" s="423">
        <f>SUM(C22:C25)</f>
        <v>2472000.5300000003</v>
      </c>
      <c r="D26" s="423">
        <f>SUM(D22:D25)</f>
        <v>270612.84999999998</v>
      </c>
      <c r="E26" s="423">
        <f>SUM(E22:E25)</f>
        <v>2742613.3800000004</v>
      </c>
    </row>
    <row r="28" spans="1:5" x14ac:dyDescent="0.25">
      <c r="A28" s="418" t="s">
        <v>117</v>
      </c>
      <c r="B28" s="418" t="s">
        <v>118</v>
      </c>
      <c r="C28" s="420">
        <v>1092.1500000000001</v>
      </c>
      <c r="D28" s="420">
        <v>0</v>
      </c>
      <c r="E28" s="420">
        <v>1092.1500000000001</v>
      </c>
    </row>
    <row r="29" spans="1:5" x14ac:dyDescent="0.25">
      <c r="A29" s="418" t="s">
        <v>119</v>
      </c>
      <c r="B29" s="418" t="s">
        <v>120</v>
      </c>
      <c r="C29" s="420">
        <v>2182.66</v>
      </c>
      <c r="D29" s="420">
        <v>0</v>
      </c>
      <c r="E29" s="420">
        <v>2182.66</v>
      </c>
    </row>
    <row r="30" spans="1:5" x14ac:dyDescent="0.25">
      <c r="A30" s="418" t="s">
        <v>121</v>
      </c>
      <c r="B30" s="418" t="s">
        <v>122</v>
      </c>
      <c r="C30" s="420">
        <v>681.8</v>
      </c>
      <c r="D30" s="420">
        <v>0</v>
      </c>
      <c r="E30" s="420">
        <v>681.8</v>
      </c>
    </row>
    <row r="31" spans="1:5" x14ac:dyDescent="0.25">
      <c r="A31" s="418" t="s">
        <v>123</v>
      </c>
      <c r="B31" s="418" t="s">
        <v>124</v>
      </c>
      <c r="C31" s="420">
        <v>43.39</v>
      </c>
      <c r="D31" s="420">
        <v>0</v>
      </c>
      <c r="E31" s="420">
        <v>43.39</v>
      </c>
    </row>
    <row r="32" spans="1:5" x14ac:dyDescent="0.25">
      <c r="A32" s="421" t="s">
        <v>125</v>
      </c>
      <c r="B32" s="422"/>
      <c r="C32" s="423">
        <f>SUM(C28:C31)</f>
        <v>3999.9999999999995</v>
      </c>
      <c r="D32" s="423">
        <f>SUM(D28:D31)</f>
        <v>0</v>
      </c>
      <c r="E32" s="423">
        <f>SUM(E28:E31)</f>
        <v>3999.9999999999995</v>
      </c>
    </row>
    <row r="34" spans="1:5" x14ac:dyDescent="0.25">
      <c r="A34" s="418" t="s">
        <v>317</v>
      </c>
      <c r="B34" s="418" t="s">
        <v>318</v>
      </c>
      <c r="C34" s="420">
        <v>0</v>
      </c>
      <c r="D34" s="420">
        <v>0</v>
      </c>
      <c r="E34" s="420">
        <v>0</v>
      </c>
    </row>
    <row r="35" spans="1:5" x14ac:dyDescent="0.25">
      <c r="A35" s="418" t="s">
        <v>319</v>
      </c>
      <c r="B35" s="418" t="s">
        <v>320</v>
      </c>
      <c r="C35" s="420">
        <v>0</v>
      </c>
      <c r="D35" s="420">
        <v>0</v>
      </c>
      <c r="E35" s="420">
        <v>0</v>
      </c>
    </row>
    <row r="36" spans="1:5" x14ac:dyDescent="0.25">
      <c r="A36" s="418" t="s">
        <v>321</v>
      </c>
      <c r="B36" s="418" t="s">
        <v>322</v>
      </c>
      <c r="C36" s="420">
        <v>0</v>
      </c>
      <c r="D36" s="420">
        <v>0</v>
      </c>
      <c r="E36" s="420">
        <v>0</v>
      </c>
    </row>
    <row r="37" spans="1:5" x14ac:dyDescent="0.25">
      <c r="A37" s="418" t="s">
        <v>323</v>
      </c>
      <c r="B37" s="418" t="s">
        <v>324</v>
      </c>
      <c r="C37" s="420">
        <v>0</v>
      </c>
      <c r="D37" s="420">
        <v>0</v>
      </c>
      <c r="E37" s="420">
        <v>0</v>
      </c>
    </row>
    <row r="38" spans="1:5" x14ac:dyDescent="0.25">
      <c r="A38" s="421" t="s">
        <v>325</v>
      </c>
      <c r="B38" s="422"/>
      <c r="C38" s="423">
        <f>SUM(C34:C37)</f>
        <v>0</v>
      </c>
      <c r="D38" s="423">
        <f>SUM(D34:D37)</f>
        <v>0</v>
      </c>
      <c r="E38" s="423">
        <f>SUM(E34:E37)</f>
        <v>0</v>
      </c>
    </row>
    <row r="40" spans="1:5" x14ac:dyDescent="0.25">
      <c r="A40" s="418" t="s">
        <v>126</v>
      </c>
      <c r="B40" s="418" t="s">
        <v>127</v>
      </c>
      <c r="C40" s="420">
        <v>-58741167.539999999</v>
      </c>
      <c r="D40" s="420">
        <v>27638.720000000001</v>
      </c>
      <c r="E40" s="420">
        <v>-58713528.82</v>
      </c>
    </row>
    <row r="41" spans="1:5" x14ac:dyDescent="0.25">
      <c r="A41" s="418" t="s">
        <v>128</v>
      </c>
      <c r="B41" s="418" t="s">
        <v>129</v>
      </c>
      <c r="C41" s="420">
        <v>-3537491.46</v>
      </c>
      <c r="D41" s="420">
        <v>118498.66</v>
      </c>
      <c r="E41" s="420">
        <v>-3418992.8</v>
      </c>
    </row>
    <row r="42" spans="1:5" x14ac:dyDescent="0.25">
      <c r="A42" s="418" t="s">
        <v>130</v>
      </c>
      <c r="B42" s="418" t="s">
        <v>131</v>
      </c>
      <c r="C42" s="420">
        <v>-1171845.71</v>
      </c>
      <c r="D42" s="420">
        <v>15663.97</v>
      </c>
      <c r="E42" s="420">
        <v>-1156181.74</v>
      </c>
    </row>
    <row r="43" spans="1:5" x14ac:dyDescent="0.25">
      <c r="A43" s="418" t="s">
        <v>132</v>
      </c>
      <c r="B43" s="418" t="s">
        <v>133</v>
      </c>
      <c r="C43" s="420">
        <v>-94679.46</v>
      </c>
      <c r="D43" s="420">
        <v>1099.5</v>
      </c>
      <c r="E43" s="420">
        <v>-93579.96</v>
      </c>
    </row>
    <row r="44" spans="1:5" x14ac:dyDescent="0.25">
      <c r="A44" s="421" t="s">
        <v>134</v>
      </c>
      <c r="B44" s="422"/>
      <c r="C44" s="423">
        <f>SUM(C40:C43)</f>
        <v>-63545184.170000002</v>
      </c>
      <c r="D44" s="423">
        <f>SUM(D40:D43)</f>
        <v>162900.85</v>
      </c>
      <c r="E44" s="423">
        <f>SUM(E40:E43)</f>
        <v>-63382283.32</v>
      </c>
    </row>
    <row r="46" spans="1:5" x14ac:dyDescent="0.25">
      <c r="A46" s="418" t="s">
        <v>326</v>
      </c>
      <c r="B46" s="418" t="s">
        <v>327</v>
      </c>
      <c r="C46" s="420">
        <v>0</v>
      </c>
      <c r="D46" s="420">
        <v>0</v>
      </c>
      <c r="E46" s="420">
        <v>0</v>
      </c>
    </row>
    <row r="47" spans="1:5" x14ac:dyDescent="0.25">
      <c r="A47" s="418" t="s">
        <v>328</v>
      </c>
      <c r="B47" s="418" t="s">
        <v>329</v>
      </c>
      <c r="C47" s="420">
        <v>95822450</v>
      </c>
      <c r="D47" s="420">
        <v>-54443850</v>
      </c>
      <c r="E47" s="420">
        <v>41378600</v>
      </c>
    </row>
    <row r="48" spans="1:5" x14ac:dyDescent="0.25">
      <c r="A48" s="418" t="s">
        <v>330</v>
      </c>
      <c r="B48" s="418" t="s">
        <v>331</v>
      </c>
      <c r="C48" s="420">
        <v>-24741480</v>
      </c>
      <c r="D48" s="420">
        <v>-5666804</v>
      </c>
      <c r="E48" s="420">
        <v>-30408284</v>
      </c>
    </row>
    <row r="49" spans="1:5" x14ac:dyDescent="0.25">
      <c r="A49" s="418" t="s">
        <v>332</v>
      </c>
      <c r="B49" s="418" t="s">
        <v>333</v>
      </c>
      <c r="C49" s="420">
        <v>0</v>
      </c>
      <c r="D49" s="420">
        <v>0</v>
      </c>
      <c r="E49" s="420">
        <v>0</v>
      </c>
    </row>
    <row r="50" spans="1:5" x14ac:dyDescent="0.25">
      <c r="A50" s="421" t="s">
        <v>334</v>
      </c>
      <c r="B50" s="422"/>
      <c r="C50" s="423">
        <f>SUM(C46:C49)</f>
        <v>71080970</v>
      </c>
      <c r="D50" s="423">
        <f>SUM(D46:D49)</f>
        <v>-60110654</v>
      </c>
      <c r="E50" s="423">
        <f>SUM(E46:E49)</f>
        <v>10970316</v>
      </c>
    </row>
    <row r="52" spans="1:5" x14ac:dyDescent="0.25">
      <c r="A52" s="418" t="s">
        <v>135</v>
      </c>
      <c r="B52" s="418" t="s">
        <v>136</v>
      </c>
      <c r="C52" s="420">
        <v>-1421446867.4100001</v>
      </c>
      <c r="D52" s="420">
        <v>-191614772.99000001</v>
      </c>
      <c r="E52" s="420">
        <v>-1613061640.4000001</v>
      </c>
    </row>
    <row r="53" spans="1:5" x14ac:dyDescent="0.25">
      <c r="A53" s="418" t="s">
        <v>137</v>
      </c>
      <c r="B53" s="418" t="s">
        <v>138</v>
      </c>
      <c r="C53" s="420">
        <v>-2619963793.3499999</v>
      </c>
      <c r="D53" s="420">
        <v>-340893386</v>
      </c>
      <c r="E53" s="420">
        <v>-2960857179.3499999</v>
      </c>
    </row>
    <row r="54" spans="1:5" x14ac:dyDescent="0.25">
      <c r="A54" s="418" t="s">
        <v>139</v>
      </c>
      <c r="B54" s="418" t="s">
        <v>140</v>
      </c>
      <c r="C54" s="420">
        <v>-977820185.58000004</v>
      </c>
      <c r="D54" s="420">
        <v>-136912371</v>
      </c>
      <c r="E54" s="420">
        <v>-1114732556.5799999</v>
      </c>
    </row>
    <row r="55" spans="1:5" x14ac:dyDescent="0.25">
      <c r="A55" s="418" t="s">
        <v>141</v>
      </c>
      <c r="B55" s="418" t="s">
        <v>142</v>
      </c>
      <c r="C55" s="420">
        <v>-83076740.959999993</v>
      </c>
      <c r="D55" s="420">
        <v>-9487906.7200000007</v>
      </c>
      <c r="E55" s="420">
        <v>-92564647.680000007</v>
      </c>
    </row>
    <row r="56" spans="1:5" x14ac:dyDescent="0.25">
      <c r="A56" s="421" t="s">
        <v>143</v>
      </c>
      <c r="B56" s="422"/>
      <c r="C56" s="423">
        <f>SUM(C52:C55)</f>
        <v>-5102307587.3000002</v>
      </c>
      <c r="D56" s="423">
        <f>SUM(D52:D55)</f>
        <v>-678908436.71000004</v>
      </c>
      <c r="E56" s="423">
        <f>SUM(E52:E55)</f>
        <v>-5781216024.0100002</v>
      </c>
    </row>
    <row r="58" spans="1:5" x14ac:dyDescent="0.25">
      <c r="A58" s="421" t="s">
        <v>144</v>
      </c>
      <c r="B58" s="421" t="s">
        <v>39</v>
      </c>
      <c r="C58" s="423">
        <v>0</v>
      </c>
      <c r="D58" s="423">
        <v>0</v>
      </c>
      <c r="E58" s="423">
        <v>0</v>
      </c>
    </row>
    <row r="59" spans="1:5" x14ac:dyDescent="0.25">
      <c r="A59" s="418" t="s">
        <v>145</v>
      </c>
    </row>
    <row r="62" spans="1:5" x14ac:dyDescent="0.25">
      <c r="A62" s="418" t="s">
        <v>146</v>
      </c>
      <c r="B62" s="418" t="s">
        <v>80</v>
      </c>
      <c r="C62" s="420">
        <v>0</v>
      </c>
      <c r="D62" s="420">
        <v>0</v>
      </c>
      <c r="E62" s="420">
        <v>0</v>
      </c>
    </row>
    <row r="63" spans="1:5" x14ac:dyDescent="0.25">
      <c r="A63" s="418" t="s">
        <v>147</v>
      </c>
      <c r="B63" s="418" t="s">
        <v>81</v>
      </c>
      <c r="C63" s="420">
        <v>0</v>
      </c>
      <c r="D63" s="420">
        <v>0</v>
      </c>
      <c r="E63" s="420">
        <v>0</v>
      </c>
    </row>
    <row r="64" spans="1:5" x14ac:dyDescent="0.25">
      <c r="A64" s="418" t="s">
        <v>148</v>
      </c>
      <c r="B64" s="418" t="s">
        <v>82</v>
      </c>
      <c r="C64" s="420">
        <v>0</v>
      </c>
      <c r="D64" s="420">
        <v>0</v>
      </c>
      <c r="E64" s="420">
        <v>0</v>
      </c>
    </row>
    <row r="65" spans="1:5" x14ac:dyDescent="0.25">
      <c r="A65" s="418" t="s">
        <v>149</v>
      </c>
      <c r="B65" s="418" t="s">
        <v>83</v>
      </c>
      <c r="C65" s="420">
        <v>0</v>
      </c>
      <c r="D65" s="420">
        <v>0</v>
      </c>
      <c r="E65" s="420">
        <v>0</v>
      </c>
    </row>
    <row r="66" spans="1:5" x14ac:dyDescent="0.25">
      <c r="A66" s="421" t="s">
        <v>150</v>
      </c>
      <c r="B66" s="422"/>
      <c r="C66" s="423">
        <f>SUM(C62:C65)</f>
        <v>0</v>
      </c>
      <c r="D66" s="423">
        <f>SUM(D62:D65)</f>
        <v>0</v>
      </c>
      <c r="E66" s="423">
        <f>SUM(E62:E65)</f>
        <v>0</v>
      </c>
    </row>
    <row r="68" spans="1:5" x14ac:dyDescent="0.25">
      <c r="A68" s="418" t="s">
        <v>151</v>
      </c>
      <c r="B68" s="418" t="s">
        <v>40</v>
      </c>
      <c r="C68" s="420">
        <v>-45372607.390000001</v>
      </c>
      <c r="D68" s="420">
        <v>-5984863.8399999999</v>
      </c>
      <c r="E68" s="420">
        <v>-51357471.229999997</v>
      </c>
    </row>
    <row r="69" spans="1:5" x14ac:dyDescent="0.25">
      <c r="A69" s="418" t="s">
        <v>152</v>
      </c>
      <c r="B69" s="418" t="s">
        <v>41</v>
      </c>
      <c r="C69" s="420">
        <v>-11214662.210000001</v>
      </c>
      <c r="D69" s="420">
        <v>-1440836.86</v>
      </c>
      <c r="E69" s="420">
        <v>-12655499.07</v>
      </c>
    </row>
    <row r="70" spans="1:5" x14ac:dyDescent="0.25">
      <c r="A70" s="418" t="s">
        <v>153</v>
      </c>
      <c r="B70" s="418" t="s">
        <v>42</v>
      </c>
      <c r="C70" s="420">
        <v>-3172656.11</v>
      </c>
      <c r="D70" s="420">
        <v>-452159.78</v>
      </c>
      <c r="E70" s="420">
        <v>-3624815.89</v>
      </c>
    </row>
    <row r="71" spans="1:5" x14ac:dyDescent="0.25">
      <c r="A71" s="418" t="s">
        <v>154</v>
      </c>
      <c r="B71" s="418" t="s">
        <v>43</v>
      </c>
      <c r="C71" s="420">
        <v>-8157159.7999999998</v>
      </c>
      <c r="D71" s="420">
        <v>-1108982.74</v>
      </c>
      <c r="E71" s="420">
        <v>-9266142.5399999991</v>
      </c>
    </row>
    <row r="72" spans="1:5" x14ac:dyDescent="0.25">
      <c r="A72" s="421" t="s">
        <v>155</v>
      </c>
      <c r="B72" s="422"/>
      <c r="C72" s="423">
        <f>SUM(C68:C71)</f>
        <v>-67917085.510000005</v>
      </c>
      <c r="D72" s="423">
        <f>SUM(D68:D71)</f>
        <v>-8986843.2200000007</v>
      </c>
      <c r="E72" s="423">
        <f>SUM(E68:E71)</f>
        <v>-76903928.729999989</v>
      </c>
    </row>
    <row r="74" spans="1:5" x14ac:dyDescent="0.25">
      <c r="A74" s="418" t="s">
        <v>156</v>
      </c>
      <c r="B74" s="418" t="s">
        <v>157</v>
      </c>
      <c r="C74" s="420">
        <v>11574371.199999999</v>
      </c>
      <c r="D74" s="420">
        <v>1301646.52</v>
      </c>
      <c r="E74" s="420">
        <v>12876017.720000001</v>
      </c>
    </row>
    <row r="75" spans="1:5" x14ac:dyDescent="0.25">
      <c r="A75" s="418" t="s">
        <v>158</v>
      </c>
      <c r="B75" s="418" t="s">
        <v>159</v>
      </c>
      <c r="C75" s="420">
        <v>962843.4</v>
      </c>
      <c r="D75" s="420">
        <v>486129.93</v>
      </c>
      <c r="E75" s="420">
        <v>1448973.33</v>
      </c>
    </row>
    <row r="76" spans="1:5" x14ac:dyDescent="0.25">
      <c r="A76" s="418" t="s">
        <v>160</v>
      </c>
      <c r="B76" s="418" t="s">
        <v>161</v>
      </c>
      <c r="C76" s="420">
        <v>366083.77</v>
      </c>
      <c r="D76" s="420">
        <v>35140.15</v>
      </c>
      <c r="E76" s="420">
        <v>401223.92</v>
      </c>
    </row>
    <row r="77" spans="1:5" x14ac:dyDescent="0.25">
      <c r="A77" s="418" t="s">
        <v>162</v>
      </c>
      <c r="B77" s="418" t="s">
        <v>163</v>
      </c>
      <c r="C77" s="420">
        <v>1949544.88</v>
      </c>
      <c r="D77" s="420">
        <v>442447.99</v>
      </c>
      <c r="E77" s="420">
        <v>2391992.87</v>
      </c>
    </row>
    <row r="78" spans="1:5" x14ac:dyDescent="0.25">
      <c r="A78" s="421" t="s">
        <v>164</v>
      </c>
      <c r="B78" s="422"/>
      <c r="C78" s="423">
        <f>SUM(C74:C77)</f>
        <v>14852843.25</v>
      </c>
      <c r="D78" s="423">
        <f>SUM(D74:D77)</f>
        <v>2265364.59</v>
      </c>
      <c r="E78" s="423">
        <f>SUM(E74:E77)</f>
        <v>17118207.84</v>
      </c>
    </row>
    <row r="80" spans="1:5" x14ac:dyDescent="0.25">
      <c r="A80" s="421" t="s">
        <v>31</v>
      </c>
      <c r="B80" s="422"/>
      <c r="C80" s="423">
        <f>C14+C20+C26+C32+C44+C56+C58+C66+C72+C78+C50+C38</f>
        <v>476346901.85999894</v>
      </c>
      <c r="D80" s="423">
        <f>D14+D20+D26+D32+D44+D56+D58+D66+D72+D78+D50+D38</f>
        <v>-46031899.700000055</v>
      </c>
      <c r="E80" s="423">
        <f>E14+E20+E26+E32+E44+E56+E58+E66+E72+E78+E50+E38</f>
        <v>430315002.15999919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24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96" customWidth="1"/>
    <col min="2" max="2" width="33.6640625" style="396" customWidth="1"/>
    <col min="3" max="5" width="22.6640625" style="405" customWidth="1"/>
    <col min="6" max="16384" width="9.109375" style="396"/>
  </cols>
  <sheetData>
    <row r="1" spans="1:5" x14ac:dyDescent="0.25">
      <c r="A1" s="394" t="s">
        <v>53</v>
      </c>
      <c r="B1" s="394"/>
      <c r="C1" s="395"/>
      <c r="D1" s="395"/>
      <c r="E1" s="395"/>
    </row>
    <row r="2" spans="1:5" x14ac:dyDescent="0.25">
      <c r="A2" s="397" t="s">
        <v>86</v>
      </c>
      <c r="B2" s="397"/>
      <c r="C2" s="398"/>
      <c r="D2" s="398"/>
      <c r="E2" s="398"/>
    </row>
    <row r="3" spans="1:5" x14ac:dyDescent="0.25">
      <c r="A3" s="394" t="s">
        <v>311</v>
      </c>
      <c r="B3" s="394"/>
      <c r="C3" s="395"/>
      <c r="D3" s="395"/>
      <c r="E3" s="395"/>
    </row>
    <row r="4" spans="1:5" x14ac:dyDescent="0.25">
      <c r="A4" s="394" t="s">
        <v>88</v>
      </c>
      <c r="B4" s="394"/>
      <c r="C4" s="395"/>
      <c r="D4" s="395"/>
      <c r="E4" s="395"/>
    </row>
    <row r="5" spans="1:5" x14ac:dyDescent="0.25">
      <c r="A5" s="399" t="s">
        <v>313</v>
      </c>
      <c r="B5" s="399"/>
      <c r="C5" s="400"/>
      <c r="D5" s="400"/>
      <c r="E5" s="400"/>
    </row>
    <row r="7" spans="1:5" x14ac:dyDescent="0.25">
      <c r="B7" s="401" t="s">
        <v>30</v>
      </c>
      <c r="C7" s="402" t="s">
        <v>90</v>
      </c>
      <c r="D7" s="402" t="s">
        <v>91</v>
      </c>
      <c r="E7" s="402" t="s">
        <v>92</v>
      </c>
    </row>
    <row r="9" spans="1:5" x14ac:dyDescent="0.25">
      <c r="A9" s="403" t="s">
        <v>93</v>
      </c>
      <c r="B9" s="403" t="s">
        <v>34</v>
      </c>
      <c r="C9" s="404">
        <v>372079035.55000001</v>
      </c>
      <c r="D9" s="404">
        <v>185997049.03999999</v>
      </c>
      <c r="E9" s="404">
        <v>558076084.59000003</v>
      </c>
    </row>
    <row r="10" spans="1:5" x14ac:dyDescent="0.25">
      <c r="A10" s="403" t="s">
        <v>94</v>
      </c>
      <c r="B10" s="403" t="s">
        <v>35</v>
      </c>
      <c r="C10" s="405">
        <v>733430760.21000004</v>
      </c>
      <c r="D10" s="405">
        <v>366613187.75</v>
      </c>
      <c r="E10" s="405">
        <v>1100043947.96</v>
      </c>
    </row>
    <row r="11" spans="1:5" x14ac:dyDescent="0.25">
      <c r="A11" s="403" t="s">
        <v>95</v>
      </c>
      <c r="B11" s="403" t="s">
        <v>36</v>
      </c>
      <c r="C11" s="405">
        <v>209922263.28999999</v>
      </c>
      <c r="D11" s="405">
        <v>104952949.09999999</v>
      </c>
      <c r="E11" s="405">
        <v>314875212.38999999</v>
      </c>
    </row>
    <row r="12" spans="1:5" x14ac:dyDescent="0.25">
      <c r="A12" s="403" t="s">
        <v>96</v>
      </c>
      <c r="B12" s="403" t="s">
        <v>37</v>
      </c>
      <c r="C12" s="405">
        <v>11237689.59</v>
      </c>
      <c r="D12" s="405">
        <v>5618244.1900000004</v>
      </c>
      <c r="E12" s="405">
        <v>16855933.780000001</v>
      </c>
    </row>
    <row r="13" spans="1:5" x14ac:dyDescent="0.25">
      <c r="A13" s="403" t="s">
        <v>97</v>
      </c>
      <c r="B13" s="403" t="s">
        <v>38</v>
      </c>
      <c r="C13" s="405">
        <v>0</v>
      </c>
      <c r="D13" s="405">
        <v>0</v>
      </c>
      <c r="E13" s="405">
        <v>0</v>
      </c>
    </row>
    <row r="14" spans="1:5" x14ac:dyDescent="0.25">
      <c r="A14" s="406" t="s">
        <v>98</v>
      </c>
      <c r="B14" s="407"/>
      <c r="C14" s="408">
        <f>SUM(C9:C13)</f>
        <v>1326669748.6399999</v>
      </c>
      <c r="D14" s="408">
        <f>SUM(D9:D13)</f>
        <v>663181430.08000004</v>
      </c>
      <c r="E14" s="408">
        <f>SUM(E9:E13)</f>
        <v>1989851178.72</v>
      </c>
    </row>
    <row r="16" spans="1:5" x14ac:dyDescent="0.25">
      <c r="A16" s="403" t="s">
        <v>99</v>
      </c>
      <c r="B16" s="403" t="s">
        <v>100</v>
      </c>
      <c r="C16" s="405">
        <v>285739.39</v>
      </c>
      <c r="D16" s="405">
        <v>144474.06</v>
      </c>
      <c r="E16" s="405">
        <v>430213.45</v>
      </c>
    </row>
    <row r="17" spans="1:5" x14ac:dyDescent="0.25">
      <c r="A17" s="403" t="s">
        <v>101</v>
      </c>
      <c r="B17" s="403" t="s">
        <v>102</v>
      </c>
      <c r="C17" s="405">
        <v>563161.43000000005</v>
      </c>
      <c r="D17" s="405">
        <v>284859.05</v>
      </c>
      <c r="E17" s="405">
        <v>848020.47999999998</v>
      </c>
    </row>
    <row r="18" spans="1:5" x14ac:dyDescent="0.25">
      <c r="A18" s="403" t="s">
        <v>103</v>
      </c>
      <c r="B18" s="403" t="s">
        <v>104</v>
      </c>
      <c r="C18" s="405">
        <v>162249.93</v>
      </c>
      <c r="D18" s="405">
        <v>82101.09</v>
      </c>
      <c r="E18" s="405">
        <v>244351.02</v>
      </c>
    </row>
    <row r="19" spans="1:5" x14ac:dyDescent="0.25">
      <c r="A19" s="403" t="s">
        <v>105</v>
      </c>
      <c r="B19" s="403" t="s">
        <v>106</v>
      </c>
      <c r="C19" s="405">
        <v>8258.2199999999993</v>
      </c>
      <c r="D19" s="405">
        <v>4099.1000000000004</v>
      </c>
      <c r="E19" s="405">
        <v>12357.32</v>
      </c>
    </row>
    <row r="20" spans="1:5" x14ac:dyDescent="0.25">
      <c r="A20" s="406" t="s">
        <v>107</v>
      </c>
      <c r="B20" s="407"/>
      <c r="C20" s="408">
        <f>SUM(C16:C19)</f>
        <v>1019408.97</v>
      </c>
      <c r="D20" s="408">
        <f>SUM(D16:D19)</f>
        <v>515533.29999999993</v>
      </c>
      <c r="E20" s="408">
        <f>SUM(E16:E19)</f>
        <v>1534942.27</v>
      </c>
    </row>
    <row r="22" spans="1:5" x14ac:dyDescent="0.25">
      <c r="A22" s="403" t="s">
        <v>108</v>
      </c>
      <c r="B22" s="403" t="s">
        <v>109</v>
      </c>
      <c r="C22" s="405">
        <v>175090.81</v>
      </c>
      <c r="D22" s="405">
        <v>87648.82</v>
      </c>
      <c r="E22" s="405">
        <v>262739.63</v>
      </c>
    </row>
    <row r="23" spans="1:5" x14ac:dyDescent="0.25">
      <c r="A23" s="403" t="s">
        <v>110</v>
      </c>
      <c r="B23" s="403" t="s">
        <v>111</v>
      </c>
      <c r="C23" s="405">
        <v>345000.84</v>
      </c>
      <c r="D23" s="405">
        <v>172704.18</v>
      </c>
      <c r="E23" s="405">
        <v>517705.02</v>
      </c>
    </row>
    <row r="24" spans="1:5" x14ac:dyDescent="0.25">
      <c r="A24" s="403" t="s">
        <v>112</v>
      </c>
      <c r="B24" s="403" t="s">
        <v>113</v>
      </c>
      <c r="C24" s="405">
        <v>98812.4</v>
      </c>
      <c r="D24" s="405">
        <v>49464.61</v>
      </c>
      <c r="E24" s="405">
        <v>148277.01</v>
      </c>
    </row>
    <row r="25" spans="1:5" x14ac:dyDescent="0.25">
      <c r="A25" s="403" t="s">
        <v>114</v>
      </c>
      <c r="B25" s="403" t="s">
        <v>115</v>
      </c>
      <c r="C25" s="405">
        <v>5305.85</v>
      </c>
      <c r="D25" s="405">
        <v>2656</v>
      </c>
      <c r="E25" s="405">
        <v>7961.85</v>
      </c>
    </row>
    <row r="26" spans="1:5" x14ac:dyDescent="0.25">
      <c r="A26" s="406" t="s">
        <v>116</v>
      </c>
      <c r="B26" s="407"/>
      <c r="C26" s="408">
        <f>SUM(C22:C25)</f>
        <v>624209.9</v>
      </c>
      <c r="D26" s="408">
        <f>SUM(D22:D25)</f>
        <v>312473.61</v>
      </c>
      <c r="E26" s="408">
        <f>SUM(E22:E25)</f>
        <v>936683.51</v>
      </c>
    </row>
    <row r="28" spans="1:5" x14ac:dyDescent="0.25">
      <c r="A28" s="403" t="s">
        <v>117</v>
      </c>
      <c r="B28" s="403" t="s">
        <v>118</v>
      </c>
      <c r="C28" s="405">
        <v>0</v>
      </c>
      <c r="D28" s="405">
        <v>0</v>
      </c>
      <c r="E28" s="405">
        <v>0</v>
      </c>
    </row>
    <row r="29" spans="1:5" x14ac:dyDescent="0.25">
      <c r="A29" s="403" t="s">
        <v>119</v>
      </c>
      <c r="B29" s="403" t="s">
        <v>120</v>
      </c>
      <c r="C29" s="405">
        <v>0</v>
      </c>
      <c r="D29" s="405">
        <v>0</v>
      </c>
      <c r="E29" s="405">
        <v>0</v>
      </c>
    </row>
    <row r="30" spans="1:5" x14ac:dyDescent="0.25">
      <c r="A30" s="403" t="s">
        <v>121</v>
      </c>
      <c r="B30" s="403" t="s">
        <v>122</v>
      </c>
      <c r="C30" s="405">
        <v>0</v>
      </c>
      <c r="D30" s="405">
        <v>0</v>
      </c>
      <c r="E30" s="405">
        <v>0</v>
      </c>
    </row>
    <row r="31" spans="1:5" x14ac:dyDescent="0.25">
      <c r="A31" s="403" t="s">
        <v>123</v>
      </c>
      <c r="B31" s="403" t="s">
        <v>124</v>
      </c>
      <c r="C31" s="405">
        <v>0</v>
      </c>
      <c r="D31" s="405">
        <v>0</v>
      </c>
      <c r="E31" s="405">
        <v>0</v>
      </c>
    </row>
    <row r="32" spans="1:5" x14ac:dyDescent="0.25">
      <c r="A32" s="406" t="s">
        <v>125</v>
      </c>
      <c r="B32" s="407"/>
      <c r="C32" s="408">
        <f>SUM(C28:C31)</f>
        <v>0</v>
      </c>
      <c r="D32" s="408">
        <f>SUM(D28:D31)</f>
        <v>0</v>
      </c>
      <c r="E32" s="408">
        <f>SUM(E28:E31)</f>
        <v>0</v>
      </c>
    </row>
    <row r="34" spans="1:5" x14ac:dyDescent="0.25">
      <c r="A34" s="403" t="s">
        <v>126</v>
      </c>
      <c r="B34" s="403" t="s">
        <v>127</v>
      </c>
      <c r="C34" s="405">
        <v>-19772131.440000001</v>
      </c>
      <c r="D34" s="405">
        <v>-4167838.68</v>
      </c>
      <c r="E34" s="405">
        <v>-23939970.120000001</v>
      </c>
    </row>
    <row r="35" spans="1:5" x14ac:dyDescent="0.25">
      <c r="A35" s="403" t="s">
        <v>128</v>
      </c>
      <c r="B35" s="403" t="s">
        <v>129</v>
      </c>
      <c r="C35" s="405">
        <v>-233203.3</v>
      </c>
      <c r="D35" s="405">
        <v>2886583.17</v>
      </c>
      <c r="E35" s="405">
        <v>2653379.87</v>
      </c>
    </row>
    <row r="36" spans="1:5" x14ac:dyDescent="0.25">
      <c r="A36" s="403" t="s">
        <v>130</v>
      </c>
      <c r="B36" s="403" t="s">
        <v>131</v>
      </c>
      <c r="C36" s="405">
        <v>-66461.25</v>
      </c>
      <c r="D36" s="405">
        <v>826602.96</v>
      </c>
      <c r="E36" s="405">
        <v>760141.71</v>
      </c>
    </row>
    <row r="37" spans="1:5" x14ac:dyDescent="0.25">
      <c r="A37" s="403" t="s">
        <v>132</v>
      </c>
      <c r="B37" s="403" t="s">
        <v>133</v>
      </c>
      <c r="C37" s="405">
        <v>-2314.9899999999998</v>
      </c>
      <c r="D37" s="405">
        <v>43862.69</v>
      </c>
      <c r="E37" s="405">
        <v>41547.699999999997</v>
      </c>
    </row>
    <row r="38" spans="1:5" x14ac:dyDescent="0.25">
      <c r="A38" s="406" t="s">
        <v>134</v>
      </c>
      <c r="B38" s="407"/>
      <c r="C38" s="408">
        <f>SUM(C34:C37)</f>
        <v>-20074110.98</v>
      </c>
      <c r="D38" s="408">
        <f>SUM(D34:D37)</f>
        <v>-410789.86000000028</v>
      </c>
      <c r="E38" s="408">
        <f>SUM(E34:E37)</f>
        <v>-20484900.84</v>
      </c>
    </row>
    <row r="40" spans="1:5" x14ac:dyDescent="0.25">
      <c r="A40" s="403" t="s">
        <v>135</v>
      </c>
      <c r="B40" s="403" t="s">
        <v>136</v>
      </c>
      <c r="C40" s="405">
        <v>-434229148</v>
      </c>
      <c r="D40" s="405">
        <v>-178404948.66</v>
      </c>
      <c r="E40" s="405">
        <v>-612634096.65999997</v>
      </c>
    </row>
    <row r="41" spans="1:5" x14ac:dyDescent="0.25">
      <c r="A41" s="403" t="s">
        <v>137</v>
      </c>
      <c r="B41" s="403" t="s">
        <v>138</v>
      </c>
      <c r="C41" s="405">
        <v>-590693090.63</v>
      </c>
      <c r="D41" s="405">
        <v>-367148707.72000003</v>
      </c>
      <c r="E41" s="405">
        <v>-957841798.35000002</v>
      </c>
    </row>
    <row r="42" spans="1:5" x14ac:dyDescent="0.25">
      <c r="A42" s="403" t="s">
        <v>139</v>
      </c>
      <c r="B42" s="403" t="s">
        <v>140</v>
      </c>
      <c r="C42" s="405">
        <v>-232376128.31999999</v>
      </c>
      <c r="D42" s="405">
        <v>-121297084.26000001</v>
      </c>
      <c r="E42" s="405">
        <v>-353673212.57999998</v>
      </c>
    </row>
    <row r="43" spans="1:5" x14ac:dyDescent="0.25">
      <c r="A43" s="403" t="s">
        <v>141</v>
      </c>
      <c r="B43" s="403" t="s">
        <v>142</v>
      </c>
      <c r="C43" s="405">
        <v>-13583599</v>
      </c>
      <c r="D43" s="405">
        <v>-4522124.1100000003</v>
      </c>
      <c r="E43" s="405">
        <v>-18105723.109999999</v>
      </c>
    </row>
    <row r="44" spans="1:5" x14ac:dyDescent="0.25">
      <c r="A44" s="406" t="s">
        <v>143</v>
      </c>
      <c r="B44" s="407"/>
      <c r="C44" s="408">
        <f>SUM(C40:C43)</f>
        <v>-1270881965.95</v>
      </c>
      <c r="D44" s="408">
        <f>SUM(D40:D43)</f>
        <v>-671372864.75</v>
      </c>
      <c r="E44" s="408">
        <f>SUM(E40:E43)</f>
        <v>-1942254830.6999998</v>
      </c>
    </row>
    <row r="46" spans="1:5" x14ac:dyDescent="0.25">
      <c r="A46" s="406" t="s">
        <v>144</v>
      </c>
      <c r="B46" s="406" t="s">
        <v>39</v>
      </c>
      <c r="C46" s="408">
        <v>0</v>
      </c>
      <c r="D46" s="408">
        <v>0</v>
      </c>
      <c r="E46" s="408">
        <v>0</v>
      </c>
    </row>
    <row r="47" spans="1:5" x14ac:dyDescent="0.25">
      <c r="A47" s="403" t="s">
        <v>145</v>
      </c>
    </row>
    <row r="50" spans="1:5" x14ac:dyDescent="0.25">
      <c r="A50" s="403" t="s">
        <v>146</v>
      </c>
      <c r="B50" s="403" t="s">
        <v>80</v>
      </c>
      <c r="C50" s="405">
        <v>0</v>
      </c>
      <c r="D50" s="405">
        <v>0</v>
      </c>
      <c r="E50" s="405">
        <v>0</v>
      </c>
    </row>
    <row r="51" spans="1:5" x14ac:dyDescent="0.25">
      <c r="A51" s="403" t="s">
        <v>147</v>
      </c>
      <c r="B51" s="403" t="s">
        <v>81</v>
      </c>
      <c r="C51" s="405">
        <v>0</v>
      </c>
      <c r="D51" s="405">
        <v>0</v>
      </c>
      <c r="E51" s="405">
        <v>0</v>
      </c>
    </row>
    <row r="52" spans="1:5" x14ac:dyDescent="0.25">
      <c r="A52" s="403" t="s">
        <v>148</v>
      </c>
      <c r="B52" s="403" t="s">
        <v>82</v>
      </c>
      <c r="C52" s="405">
        <v>0</v>
      </c>
      <c r="D52" s="405">
        <v>0</v>
      </c>
      <c r="E52" s="405">
        <v>0</v>
      </c>
    </row>
    <row r="53" spans="1:5" x14ac:dyDescent="0.25">
      <c r="A53" s="403" t="s">
        <v>149</v>
      </c>
      <c r="B53" s="403" t="s">
        <v>83</v>
      </c>
      <c r="C53" s="405">
        <v>0</v>
      </c>
      <c r="D53" s="405">
        <v>0</v>
      </c>
      <c r="E53" s="405">
        <v>0</v>
      </c>
    </row>
    <row r="54" spans="1:5" x14ac:dyDescent="0.25">
      <c r="A54" s="406" t="s">
        <v>150</v>
      </c>
      <c r="B54" s="407"/>
      <c r="C54" s="408">
        <f>SUM(C50:C53)</f>
        <v>0</v>
      </c>
      <c r="D54" s="408">
        <f>SUM(D50:D53)</f>
        <v>0</v>
      </c>
      <c r="E54" s="408">
        <f>SUM(E50:E53)</f>
        <v>0</v>
      </c>
    </row>
    <row r="56" spans="1:5" x14ac:dyDescent="0.25">
      <c r="A56" s="403" t="s">
        <v>151</v>
      </c>
      <c r="B56" s="403" t="s">
        <v>40</v>
      </c>
      <c r="C56" s="405">
        <v>-7347544.8200000003</v>
      </c>
      <c r="D56" s="405">
        <v>-8667824.2300000004</v>
      </c>
      <c r="E56" s="405">
        <v>-16015369.050000001</v>
      </c>
    </row>
    <row r="57" spans="1:5" x14ac:dyDescent="0.25">
      <c r="A57" s="403" t="s">
        <v>152</v>
      </c>
      <c r="B57" s="403" t="s">
        <v>41</v>
      </c>
      <c r="C57" s="405">
        <v>-3007468.74</v>
      </c>
      <c r="D57" s="405">
        <v>-1763672.48</v>
      </c>
      <c r="E57" s="405">
        <v>-4771141.22</v>
      </c>
    </row>
    <row r="58" spans="1:5" x14ac:dyDescent="0.25">
      <c r="A58" s="403" t="s">
        <v>153</v>
      </c>
      <c r="B58" s="403" t="s">
        <v>42</v>
      </c>
      <c r="C58" s="405">
        <v>-913093.61</v>
      </c>
      <c r="D58" s="405">
        <v>-333613.46000000002</v>
      </c>
      <c r="E58" s="405">
        <v>-1246707.07</v>
      </c>
    </row>
    <row r="59" spans="1:5" x14ac:dyDescent="0.25">
      <c r="A59" s="403" t="s">
        <v>154</v>
      </c>
      <c r="B59" s="403" t="s">
        <v>43</v>
      </c>
      <c r="C59" s="405">
        <v>-1598700.73</v>
      </c>
      <c r="D59" s="405">
        <v>-1413084.69</v>
      </c>
      <c r="E59" s="405">
        <v>-3011785.42</v>
      </c>
    </row>
    <row r="60" spans="1:5" x14ac:dyDescent="0.25">
      <c r="A60" s="406" t="s">
        <v>155</v>
      </c>
      <c r="B60" s="407"/>
      <c r="C60" s="408">
        <f>SUM(C56:C59)</f>
        <v>-12866807.9</v>
      </c>
      <c r="D60" s="408">
        <f>SUM(D56:D59)</f>
        <v>-12178194.860000001</v>
      </c>
      <c r="E60" s="408">
        <f>SUM(E56:E59)</f>
        <v>-25045002.759999998</v>
      </c>
    </row>
    <row r="62" spans="1:5" x14ac:dyDescent="0.25">
      <c r="A62" s="403" t="s">
        <v>156</v>
      </c>
      <c r="B62" s="403" t="s">
        <v>157</v>
      </c>
      <c r="C62" s="405">
        <v>3098035.51</v>
      </c>
      <c r="D62" s="405">
        <v>1341483.96</v>
      </c>
      <c r="E62" s="405">
        <v>4439519.47</v>
      </c>
    </row>
    <row r="63" spans="1:5" x14ac:dyDescent="0.25">
      <c r="A63" s="403" t="s">
        <v>158</v>
      </c>
      <c r="B63" s="403" t="s">
        <v>159</v>
      </c>
      <c r="C63" s="405">
        <v>107610.6</v>
      </c>
      <c r="D63" s="405">
        <v>44307.83</v>
      </c>
      <c r="E63" s="405">
        <v>151918.43</v>
      </c>
    </row>
    <row r="64" spans="1:5" x14ac:dyDescent="0.25">
      <c r="A64" s="403" t="s">
        <v>160</v>
      </c>
      <c r="B64" s="403" t="s">
        <v>161</v>
      </c>
      <c r="C64" s="405">
        <v>133558.24</v>
      </c>
      <c r="D64" s="405">
        <v>52413.34</v>
      </c>
      <c r="E64" s="405">
        <v>185971.58</v>
      </c>
    </row>
    <row r="65" spans="1:5" x14ac:dyDescent="0.25">
      <c r="A65" s="403" t="s">
        <v>162</v>
      </c>
      <c r="B65" s="403" t="s">
        <v>163</v>
      </c>
      <c r="C65" s="405">
        <v>434043.6</v>
      </c>
      <c r="D65" s="405">
        <v>194688.61</v>
      </c>
      <c r="E65" s="405">
        <v>628732.21</v>
      </c>
    </row>
    <row r="66" spans="1:5" x14ac:dyDescent="0.25">
      <c r="A66" s="406" t="s">
        <v>164</v>
      </c>
      <c r="B66" s="407"/>
      <c r="C66" s="408">
        <f>SUM(C62:C65)</f>
        <v>3773247.9499999997</v>
      </c>
      <c r="D66" s="408">
        <f>SUM(D62:D65)</f>
        <v>1632893.7400000002</v>
      </c>
      <c r="E66" s="408">
        <f>SUM(E62:E65)</f>
        <v>5406141.6899999995</v>
      </c>
    </row>
    <row r="68" spans="1:5" x14ac:dyDescent="0.25">
      <c r="A68" s="406" t="s">
        <v>31</v>
      </c>
      <c r="B68" s="407"/>
      <c r="C68" s="408">
        <f>C14+C20+C26+C32+C38+C44+C46+C54+C60+C66</f>
        <v>28263730.629999924</v>
      </c>
      <c r="D68" s="408">
        <f>D14+D20+D26+D32+D38+D44+D46+D54+D60+D66</f>
        <v>-18319518.740000002</v>
      </c>
      <c r="E68" s="408">
        <f>E14+E20+E26+E32+E38+E44+E46+E54+E60+E66</f>
        <v>9944211.8900002781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5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96" customWidth="1"/>
    <col min="2" max="2" width="33.6640625" style="396" customWidth="1"/>
    <col min="3" max="5" width="22.6640625" style="405" customWidth="1"/>
    <col min="6" max="16384" width="9.109375" style="396"/>
  </cols>
  <sheetData>
    <row r="1" spans="1:5" x14ac:dyDescent="0.25">
      <c r="A1" s="394" t="s">
        <v>53</v>
      </c>
      <c r="B1" s="394"/>
      <c r="C1" s="395"/>
      <c r="D1" s="395"/>
      <c r="E1" s="395"/>
    </row>
    <row r="2" spans="1:5" x14ac:dyDescent="0.25">
      <c r="A2" s="397" t="s">
        <v>86</v>
      </c>
      <c r="B2" s="397"/>
      <c r="C2" s="398"/>
      <c r="D2" s="398"/>
      <c r="E2" s="398"/>
    </row>
    <row r="3" spans="1:5" x14ac:dyDescent="0.25">
      <c r="A3" s="394" t="s">
        <v>311</v>
      </c>
      <c r="B3" s="394"/>
      <c r="C3" s="395"/>
      <c r="D3" s="395"/>
      <c r="E3" s="395"/>
    </row>
    <row r="4" spans="1:5" x14ac:dyDescent="0.25">
      <c r="A4" s="394" t="s">
        <v>88</v>
      </c>
      <c r="B4" s="394"/>
      <c r="C4" s="395"/>
      <c r="D4" s="395"/>
      <c r="E4" s="395"/>
    </row>
    <row r="5" spans="1:5" x14ac:dyDescent="0.25">
      <c r="A5" s="399" t="s">
        <v>313</v>
      </c>
      <c r="B5" s="399"/>
      <c r="C5" s="400"/>
      <c r="D5" s="400"/>
      <c r="E5" s="400"/>
    </row>
    <row r="7" spans="1:5" x14ac:dyDescent="0.25">
      <c r="B7" s="401" t="s">
        <v>30</v>
      </c>
      <c r="C7" s="402" t="s">
        <v>90</v>
      </c>
      <c r="D7" s="402" t="s">
        <v>91</v>
      </c>
      <c r="E7" s="402" t="s">
        <v>92</v>
      </c>
    </row>
    <row r="9" spans="1:5" x14ac:dyDescent="0.25">
      <c r="A9" s="403" t="s">
        <v>93</v>
      </c>
      <c r="B9" s="403" t="s">
        <v>34</v>
      </c>
      <c r="C9" s="404">
        <v>372079035.55000001</v>
      </c>
      <c r="D9" s="404">
        <v>185997049.03999999</v>
      </c>
      <c r="E9" s="404">
        <v>558076084.59000003</v>
      </c>
    </row>
    <row r="10" spans="1:5" x14ac:dyDescent="0.25">
      <c r="A10" s="403" t="s">
        <v>94</v>
      </c>
      <c r="B10" s="403" t="s">
        <v>35</v>
      </c>
      <c r="C10" s="405">
        <v>733430760.21000004</v>
      </c>
      <c r="D10" s="405">
        <v>366613187.75</v>
      </c>
      <c r="E10" s="405">
        <v>1100043947.96</v>
      </c>
    </row>
    <row r="11" spans="1:5" x14ac:dyDescent="0.25">
      <c r="A11" s="403" t="s">
        <v>95</v>
      </c>
      <c r="B11" s="403" t="s">
        <v>36</v>
      </c>
      <c r="C11" s="405">
        <v>209922263.28999999</v>
      </c>
      <c r="D11" s="405">
        <v>104952949.09999999</v>
      </c>
      <c r="E11" s="405">
        <v>314875212.38999999</v>
      </c>
    </row>
    <row r="12" spans="1:5" x14ac:dyDescent="0.25">
      <c r="A12" s="403" t="s">
        <v>96</v>
      </c>
      <c r="B12" s="403" t="s">
        <v>37</v>
      </c>
      <c r="C12" s="405">
        <v>11237689.59</v>
      </c>
      <c r="D12" s="405">
        <v>5618244.1900000004</v>
      </c>
      <c r="E12" s="405">
        <v>16855933.780000001</v>
      </c>
    </row>
    <row r="13" spans="1:5" x14ac:dyDescent="0.25">
      <c r="A13" s="403" t="s">
        <v>97</v>
      </c>
      <c r="B13" s="403" t="s">
        <v>38</v>
      </c>
      <c r="C13" s="405">
        <v>0</v>
      </c>
      <c r="D13" s="405">
        <v>0</v>
      </c>
      <c r="E13" s="405">
        <v>0</v>
      </c>
    </row>
    <row r="14" spans="1:5" x14ac:dyDescent="0.25">
      <c r="A14" s="406" t="s">
        <v>98</v>
      </c>
      <c r="B14" s="407"/>
      <c r="C14" s="408">
        <f>SUM(C9:C13)</f>
        <v>1326669748.6399999</v>
      </c>
      <c r="D14" s="408">
        <f>SUM(D9:D13)</f>
        <v>663181430.08000004</v>
      </c>
      <c r="E14" s="408">
        <f>SUM(E9:E13)</f>
        <v>1989851178.72</v>
      </c>
    </row>
    <row r="16" spans="1:5" x14ac:dyDescent="0.25">
      <c r="A16" s="403" t="s">
        <v>99</v>
      </c>
      <c r="B16" s="403" t="s">
        <v>100</v>
      </c>
      <c r="C16" s="405">
        <v>285739.39</v>
      </c>
      <c r="D16" s="405">
        <v>144474.06</v>
      </c>
      <c r="E16" s="405">
        <v>430213.45</v>
      </c>
    </row>
    <row r="17" spans="1:5" x14ac:dyDescent="0.25">
      <c r="A17" s="403" t="s">
        <v>101</v>
      </c>
      <c r="B17" s="403" t="s">
        <v>102</v>
      </c>
      <c r="C17" s="405">
        <v>563161.43000000005</v>
      </c>
      <c r="D17" s="405">
        <v>284859.05</v>
      </c>
      <c r="E17" s="405">
        <v>848020.47999999998</v>
      </c>
    </row>
    <row r="18" spans="1:5" x14ac:dyDescent="0.25">
      <c r="A18" s="403" t="s">
        <v>103</v>
      </c>
      <c r="B18" s="403" t="s">
        <v>104</v>
      </c>
      <c r="C18" s="405">
        <v>162249.93</v>
      </c>
      <c r="D18" s="405">
        <v>82101.09</v>
      </c>
      <c r="E18" s="405">
        <v>244351.02</v>
      </c>
    </row>
    <row r="19" spans="1:5" x14ac:dyDescent="0.25">
      <c r="A19" s="403" t="s">
        <v>105</v>
      </c>
      <c r="B19" s="403" t="s">
        <v>106</v>
      </c>
      <c r="C19" s="405">
        <v>8258.2199999999993</v>
      </c>
      <c r="D19" s="405">
        <v>4099.1000000000004</v>
      </c>
      <c r="E19" s="405">
        <v>12357.32</v>
      </c>
    </row>
    <row r="20" spans="1:5" x14ac:dyDescent="0.25">
      <c r="A20" s="406" t="s">
        <v>107</v>
      </c>
      <c r="B20" s="407"/>
      <c r="C20" s="408">
        <f>SUM(C16:C19)</f>
        <v>1019408.97</v>
      </c>
      <c r="D20" s="408">
        <f>SUM(D16:D19)</f>
        <v>515533.29999999993</v>
      </c>
      <c r="E20" s="408">
        <f>SUM(E16:E19)</f>
        <v>1534942.27</v>
      </c>
    </row>
    <row r="22" spans="1:5" x14ac:dyDescent="0.25">
      <c r="A22" s="403" t="s">
        <v>108</v>
      </c>
      <c r="B22" s="403" t="s">
        <v>109</v>
      </c>
      <c r="C22" s="405">
        <v>175090.81</v>
      </c>
      <c r="D22" s="405">
        <v>87648.82</v>
      </c>
      <c r="E22" s="405">
        <v>262739.63</v>
      </c>
    </row>
    <row r="23" spans="1:5" x14ac:dyDescent="0.25">
      <c r="A23" s="403" t="s">
        <v>110</v>
      </c>
      <c r="B23" s="403" t="s">
        <v>111</v>
      </c>
      <c r="C23" s="405">
        <v>345000.84</v>
      </c>
      <c r="D23" s="405">
        <v>172704.18</v>
      </c>
      <c r="E23" s="405">
        <v>517705.02</v>
      </c>
    </row>
    <row r="24" spans="1:5" x14ac:dyDescent="0.25">
      <c r="A24" s="403" t="s">
        <v>112</v>
      </c>
      <c r="B24" s="403" t="s">
        <v>113</v>
      </c>
      <c r="C24" s="405">
        <v>98812.4</v>
      </c>
      <c r="D24" s="405">
        <v>49464.61</v>
      </c>
      <c r="E24" s="405">
        <v>148277.01</v>
      </c>
    </row>
    <row r="25" spans="1:5" x14ac:dyDescent="0.25">
      <c r="A25" s="403" t="s">
        <v>114</v>
      </c>
      <c r="B25" s="403" t="s">
        <v>115</v>
      </c>
      <c r="C25" s="405">
        <v>5305.85</v>
      </c>
      <c r="D25" s="405">
        <v>2656</v>
      </c>
      <c r="E25" s="405">
        <v>7961.85</v>
      </c>
    </row>
    <row r="26" spans="1:5" x14ac:dyDescent="0.25">
      <c r="A26" s="406" t="s">
        <v>116</v>
      </c>
      <c r="B26" s="407"/>
      <c r="C26" s="408">
        <f>SUM(C22:C25)</f>
        <v>624209.9</v>
      </c>
      <c r="D26" s="408">
        <f>SUM(D22:D25)</f>
        <v>312473.61</v>
      </c>
      <c r="E26" s="408">
        <f>SUM(E22:E25)</f>
        <v>936683.51</v>
      </c>
    </row>
    <row r="28" spans="1:5" x14ac:dyDescent="0.25">
      <c r="A28" s="403" t="s">
        <v>117</v>
      </c>
      <c r="B28" s="403" t="s">
        <v>118</v>
      </c>
      <c r="C28" s="405">
        <v>0</v>
      </c>
      <c r="D28" s="405">
        <v>0</v>
      </c>
      <c r="E28" s="405">
        <v>0</v>
      </c>
    </row>
    <row r="29" spans="1:5" x14ac:dyDescent="0.25">
      <c r="A29" s="403" t="s">
        <v>119</v>
      </c>
      <c r="B29" s="403" t="s">
        <v>120</v>
      </c>
      <c r="C29" s="405">
        <v>0</v>
      </c>
      <c r="D29" s="405">
        <v>0</v>
      </c>
      <c r="E29" s="405">
        <v>0</v>
      </c>
    </row>
    <row r="30" spans="1:5" x14ac:dyDescent="0.25">
      <c r="A30" s="403" t="s">
        <v>121</v>
      </c>
      <c r="B30" s="403" t="s">
        <v>122</v>
      </c>
      <c r="C30" s="405">
        <v>0</v>
      </c>
      <c r="D30" s="405">
        <v>0</v>
      </c>
      <c r="E30" s="405">
        <v>0</v>
      </c>
    </row>
    <row r="31" spans="1:5" x14ac:dyDescent="0.25">
      <c r="A31" s="403" t="s">
        <v>123</v>
      </c>
      <c r="B31" s="403" t="s">
        <v>124</v>
      </c>
      <c r="C31" s="405">
        <v>0</v>
      </c>
      <c r="D31" s="405">
        <v>0</v>
      </c>
      <c r="E31" s="405">
        <v>0</v>
      </c>
    </row>
    <row r="32" spans="1:5" x14ac:dyDescent="0.25">
      <c r="A32" s="406" t="s">
        <v>125</v>
      </c>
      <c r="B32" s="407"/>
      <c r="C32" s="408">
        <f>SUM(C28:C31)</f>
        <v>0</v>
      </c>
      <c r="D32" s="408">
        <f>SUM(D28:D31)</f>
        <v>0</v>
      </c>
      <c r="E32" s="408">
        <f>SUM(E28:E31)</f>
        <v>0</v>
      </c>
    </row>
    <row r="34" spans="1:5" x14ac:dyDescent="0.25">
      <c r="A34" s="403" t="s">
        <v>126</v>
      </c>
      <c r="B34" s="403" t="s">
        <v>127</v>
      </c>
      <c r="C34" s="405">
        <v>-19772131.440000001</v>
      </c>
      <c r="D34" s="405">
        <v>-10537456.41</v>
      </c>
      <c r="E34" s="405">
        <v>-30309587.850000001</v>
      </c>
    </row>
    <row r="35" spans="1:5" x14ac:dyDescent="0.25">
      <c r="A35" s="403" t="s">
        <v>128</v>
      </c>
      <c r="B35" s="403" t="s">
        <v>129</v>
      </c>
      <c r="C35" s="405">
        <v>-233203.3</v>
      </c>
      <c r="D35" s="405">
        <v>-9666446.0099999998</v>
      </c>
      <c r="E35" s="405">
        <v>-9899649.3100000005</v>
      </c>
    </row>
    <row r="36" spans="1:5" x14ac:dyDescent="0.25">
      <c r="A36" s="403" t="s">
        <v>130</v>
      </c>
      <c r="B36" s="403" t="s">
        <v>131</v>
      </c>
      <c r="C36" s="405">
        <v>-66461.25</v>
      </c>
      <c r="D36" s="405">
        <v>-2768086.83</v>
      </c>
      <c r="E36" s="405">
        <v>-2834548.08</v>
      </c>
    </row>
    <row r="37" spans="1:5" x14ac:dyDescent="0.25">
      <c r="A37" s="403" t="s">
        <v>132</v>
      </c>
      <c r="B37" s="403" t="s">
        <v>133</v>
      </c>
      <c r="C37" s="405">
        <v>-2314.9899999999998</v>
      </c>
      <c r="D37" s="405">
        <v>-146885.22</v>
      </c>
      <c r="E37" s="405">
        <v>-149200.21</v>
      </c>
    </row>
    <row r="38" spans="1:5" x14ac:dyDescent="0.25">
      <c r="A38" s="406" t="s">
        <v>134</v>
      </c>
      <c r="B38" s="407"/>
      <c r="C38" s="408">
        <f>SUM(C34:C37)</f>
        <v>-20074110.98</v>
      </c>
      <c r="D38" s="408">
        <f>SUM(D34:D37)</f>
        <v>-23118874.469999999</v>
      </c>
      <c r="E38" s="408">
        <f>SUM(E34:E37)</f>
        <v>-43192985.450000003</v>
      </c>
    </row>
    <row r="40" spans="1:5" x14ac:dyDescent="0.25">
      <c r="A40" s="403" t="s">
        <v>135</v>
      </c>
      <c r="B40" s="403" t="s">
        <v>136</v>
      </c>
      <c r="C40" s="405">
        <v>-434229148</v>
      </c>
      <c r="D40" s="405">
        <v>-178404948.66</v>
      </c>
      <c r="E40" s="405">
        <v>-612634096.65999997</v>
      </c>
    </row>
    <row r="41" spans="1:5" x14ac:dyDescent="0.25">
      <c r="A41" s="403" t="s">
        <v>137</v>
      </c>
      <c r="B41" s="403" t="s">
        <v>138</v>
      </c>
      <c r="C41" s="405">
        <v>-590693090.63</v>
      </c>
      <c r="D41" s="405">
        <v>-367148707.72000003</v>
      </c>
      <c r="E41" s="405">
        <v>-957841798.35000002</v>
      </c>
    </row>
    <row r="42" spans="1:5" x14ac:dyDescent="0.25">
      <c r="A42" s="403" t="s">
        <v>139</v>
      </c>
      <c r="B42" s="403" t="s">
        <v>140</v>
      </c>
      <c r="C42" s="405">
        <v>-232376128.31999999</v>
      </c>
      <c r="D42" s="405">
        <v>-121297084.26000001</v>
      </c>
      <c r="E42" s="405">
        <v>-353673212.57999998</v>
      </c>
    </row>
    <row r="43" spans="1:5" x14ac:dyDescent="0.25">
      <c r="A43" s="403" t="s">
        <v>141</v>
      </c>
      <c r="B43" s="403" t="s">
        <v>142</v>
      </c>
      <c r="C43" s="405">
        <v>-13583599</v>
      </c>
      <c r="D43" s="405">
        <v>-4522124.1100000003</v>
      </c>
      <c r="E43" s="405">
        <v>-18105723.109999999</v>
      </c>
    </row>
    <row r="44" spans="1:5" x14ac:dyDescent="0.25">
      <c r="A44" s="406" t="s">
        <v>143</v>
      </c>
      <c r="B44" s="407"/>
      <c r="C44" s="408">
        <f>SUM(C40:C43)</f>
        <v>-1270881965.95</v>
      </c>
      <c r="D44" s="408">
        <f>SUM(D40:D43)</f>
        <v>-671372864.75</v>
      </c>
      <c r="E44" s="408">
        <f>SUM(E40:E43)</f>
        <v>-1942254830.6999998</v>
      </c>
    </row>
    <row r="46" spans="1:5" x14ac:dyDescent="0.25">
      <c r="A46" s="406" t="s">
        <v>144</v>
      </c>
      <c r="B46" s="406" t="s">
        <v>39</v>
      </c>
      <c r="C46" s="408">
        <v>0</v>
      </c>
      <c r="D46" s="408">
        <v>0</v>
      </c>
      <c r="E46" s="408">
        <v>0</v>
      </c>
    </row>
    <row r="47" spans="1:5" x14ac:dyDescent="0.25">
      <c r="A47" s="403" t="s">
        <v>145</v>
      </c>
    </row>
    <row r="50" spans="1:5" x14ac:dyDescent="0.25">
      <c r="A50" s="403" t="s">
        <v>146</v>
      </c>
      <c r="B50" s="403" t="s">
        <v>80</v>
      </c>
      <c r="C50" s="405">
        <v>0</v>
      </c>
      <c r="D50" s="405">
        <v>0</v>
      </c>
      <c r="E50" s="405">
        <v>0</v>
      </c>
    </row>
    <row r="51" spans="1:5" x14ac:dyDescent="0.25">
      <c r="A51" s="403" t="s">
        <v>147</v>
      </c>
      <c r="B51" s="403" t="s">
        <v>81</v>
      </c>
      <c r="C51" s="405">
        <v>0</v>
      </c>
      <c r="D51" s="405">
        <v>0</v>
      </c>
      <c r="E51" s="405">
        <v>0</v>
      </c>
    </row>
    <row r="52" spans="1:5" x14ac:dyDescent="0.25">
      <c r="A52" s="403" t="s">
        <v>148</v>
      </c>
      <c r="B52" s="403" t="s">
        <v>82</v>
      </c>
      <c r="C52" s="405">
        <v>0</v>
      </c>
      <c r="D52" s="405">
        <v>0</v>
      </c>
      <c r="E52" s="405">
        <v>0</v>
      </c>
    </row>
    <row r="53" spans="1:5" x14ac:dyDescent="0.25">
      <c r="A53" s="403" t="s">
        <v>149</v>
      </c>
      <c r="B53" s="403" t="s">
        <v>83</v>
      </c>
      <c r="C53" s="405">
        <v>0</v>
      </c>
      <c r="D53" s="405">
        <v>0</v>
      </c>
      <c r="E53" s="405">
        <v>0</v>
      </c>
    </row>
    <row r="54" spans="1:5" x14ac:dyDescent="0.25">
      <c r="A54" s="406" t="s">
        <v>150</v>
      </c>
      <c r="B54" s="407"/>
      <c r="C54" s="408">
        <f>SUM(C50:C53)</f>
        <v>0</v>
      </c>
      <c r="D54" s="408">
        <f>SUM(D50:D53)</f>
        <v>0</v>
      </c>
      <c r="E54" s="408">
        <f>SUM(E50:E53)</f>
        <v>0</v>
      </c>
    </row>
    <row r="56" spans="1:5" x14ac:dyDescent="0.25">
      <c r="A56" s="403" t="s">
        <v>151</v>
      </c>
      <c r="B56" s="403" t="s">
        <v>40</v>
      </c>
      <c r="C56" s="405">
        <v>-7347544.8200000003</v>
      </c>
      <c r="D56" s="405">
        <v>-8667824.2300000004</v>
      </c>
      <c r="E56" s="405">
        <v>-16015369.050000001</v>
      </c>
    </row>
    <row r="57" spans="1:5" x14ac:dyDescent="0.25">
      <c r="A57" s="403" t="s">
        <v>152</v>
      </c>
      <c r="B57" s="403" t="s">
        <v>41</v>
      </c>
      <c r="C57" s="405">
        <v>-3007468.74</v>
      </c>
      <c r="D57" s="405">
        <v>-1763672.48</v>
      </c>
      <c r="E57" s="405">
        <v>-4771141.22</v>
      </c>
    </row>
    <row r="58" spans="1:5" x14ac:dyDescent="0.25">
      <c r="A58" s="403" t="s">
        <v>153</v>
      </c>
      <c r="B58" s="403" t="s">
        <v>42</v>
      </c>
      <c r="C58" s="405">
        <v>-913093.61</v>
      </c>
      <c r="D58" s="405">
        <v>-333613.46000000002</v>
      </c>
      <c r="E58" s="405">
        <v>-1246707.07</v>
      </c>
    </row>
    <row r="59" spans="1:5" x14ac:dyDescent="0.25">
      <c r="A59" s="403" t="s">
        <v>154</v>
      </c>
      <c r="B59" s="403" t="s">
        <v>43</v>
      </c>
      <c r="C59" s="405">
        <v>-1598700.73</v>
      </c>
      <c r="D59" s="405">
        <v>-1413084.69</v>
      </c>
      <c r="E59" s="405">
        <v>-3011785.42</v>
      </c>
    </row>
    <row r="60" spans="1:5" x14ac:dyDescent="0.25">
      <c r="A60" s="406" t="s">
        <v>155</v>
      </c>
      <c r="B60" s="407"/>
      <c r="C60" s="408">
        <f>SUM(C56:C59)</f>
        <v>-12866807.9</v>
      </c>
      <c r="D60" s="408">
        <f>SUM(D56:D59)</f>
        <v>-12178194.860000001</v>
      </c>
      <c r="E60" s="408">
        <f>SUM(E56:E59)</f>
        <v>-25045002.759999998</v>
      </c>
    </row>
    <row r="62" spans="1:5" x14ac:dyDescent="0.25">
      <c r="A62" s="403" t="s">
        <v>156</v>
      </c>
      <c r="B62" s="403" t="s">
        <v>157</v>
      </c>
      <c r="C62" s="405">
        <v>3098035.51</v>
      </c>
      <c r="D62" s="405">
        <v>1341483.96</v>
      </c>
      <c r="E62" s="405">
        <v>4439519.47</v>
      </c>
    </row>
    <row r="63" spans="1:5" x14ac:dyDescent="0.25">
      <c r="A63" s="403" t="s">
        <v>158</v>
      </c>
      <c r="B63" s="403" t="s">
        <v>159</v>
      </c>
      <c r="C63" s="405">
        <v>107610.6</v>
      </c>
      <c r="D63" s="405">
        <v>44307.83</v>
      </c>
      <c r="E63" s="405">
        <v>151918.43</v>
      </c>
    </row>
    <row r="64" spans="1:5" x14ac:dyDescent="0.25">
      <c r="A64" s="403" t="s">
        <v>160</v>
      </c>
      <c r="B64" s="403" t="s">
        <v>161</v>
      </c>
      <c r="C64" s="405">
        <v>133558.24</v>
      </c>
      <c r="D64" s="405">
        <v>52413.34</v>
      </c>
      <c r="E64" s="405">
        <v>185971.58</v>
      </c>
    </row>
    <row r="65" spans="1:5" x14ac:dyDescent="0.25">
      <c r="A65" s="403" t="s">
        <v>162</v>
      </c>
      <c r="B65" s="403" t="s">
        <v>163</v>
      </c>
      <c r="C65" s="405">
        <v>434043.6</v>
      </c>
      <c r="D65" s="405">
        <v>194688.61</v>
      </c>
      <c r="E65" s="405">
        <v>628732.21</v>
      </c>
    </row>
    <row r="66" spans="1:5" x14ac:dyDescent="0.25">
      <c r="A66" s="406" t="s">
        <v>164</v>
      </c>
      <c r="B66" s="407"/>
      <c r="C66" s="408">
        <f>SUM(C62:C65)</f>
        <v>3773247.9499999997</v>
      </c>
      <c r="D66" s="408">
        <f>SUM(D62:D65)</f>
        <v>1632893.7400000002</v>
      </c>
      <c r="E66" s="408">
        <f>SUM(E62:E65)</f>
        <v>5406141.6899999995</v>
      </c>
    </row>
    <row r="68" spans="1:5" x14ac:dyDescent="0.25">
      <c r="A68" s="406" t="s">
        <v>31</v>
      </c>
      <c r="B68" s="407"/>
      <c r="C68" s="408">
        <f>C14+C20+C26+C32+C38+C44+C46+C54+C60+C66</f>
        <v>28263730.629999924</v>
      </c>
      <c r="D68" s="408">
        <f>D14+D20+D26+D32+D38+D44+D46+D54+D60+D66</f>
        <v>-41027603.350000016</v>
      </c>
      <c r="E68" s="408">
        <f>E14+E20+E26+E32+E38+E44+E46+E54+E60+E66</f>
        <v>-12763872.719999855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48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96" customWidth="1"/>
    <col min="2" max="2" width="33.6640625" style="396" customWidth="1"/>
    <col min="3" max="5" width="22.6640625" style="405" customWidth="1"/>
    <col min="6" max="16384" width="9.109375" style="396"/>
  </cols>
  <sheetData>
    <row r="1" spans="1:5" x14ac:dyDescent="0.25">
      <c r="A1" s="394" t="s">
        <v>53</v>
      </c>
      <c r="B1" s="394"/>
      <c r="C1" s="395"/>
      <c r="D1" s="395"/>
      <c r="E1" s="395"/>
    </row>
    <row r="2" spans="1:5" x14ac:dyDescent="0.25">
      <c r="A2" s="397" t="s">
        <v>86</v>
      </c>
      <c r="B2" s="397"/>
      <c r="C2" s="398"/>
      <c r="D2" s="398"/>
      <c r="E2" s="398"/>
    </row>
    <row r="3" spans="1:5" x14ac:dyDescent="0.25">
      <c r="A3" s="394" t="s">
        <v>311</v>
      </c>
      <c r="B3" s="394"/>
      <c r="C3" s="395"/>
      <c r="D3" s="395"/>
      <c r="E3" s="395"/>
    </row>
    <row r="4" spans="1:5" x14ac:dyDescent="0.25">
      <c r="A4" s="394" t="s">
        <v>88</v>
      </c>
      <c r="B4" s="394"/>
      <c r="C4" s="395"/>
      <c r="D4" s="395"/>
      <c r="E4" s="395"/>
    </row>
    <row r="5" spans="1:5" x14ac:dyDescent="0.25">
      <c r="A5" s="399" t="s">
        <v>312</v>
      </c>
      <c r="B5" s="399"/>
      <c r="C5" s="400"/>
      <c r="D5" s="400"/>
      <c r="E5" s="400"/>
    </row>
    <row r="7" spans="1:5" x14ac:dyDescent="0.25">
      <c r="B7" s="401" t="s">
        <v>30</v>
      </c>
      <c r="C7" s="402" t="s">
        <v>90</v>
      </c>
      <c r="D7" s="402" t="s">
        <v>91</v>
      </c>
      <c r="E7" s="402" t="s">
        <v>92</v>
      </c>
    </row>
    <row r="9" spans="1:5" x14ac:dyDescent="0.25">
      <c r="A9" s="403" t="s">
        <v>93</v>
      </c>
      <c r="B9" s="403" t="s">
        <v>34</v>
      </c>
      <c r="C9" s="404">
        <v>372079035.55000001</v>
      </c>
      <c r="D9" s="404">
        <v>184358271.97999999</v>
      </c>
      <c r="E9" s="404">
        <v>556437307.52999997</v>
      </c>
    </row>
    <row r="10" spans="1:5" x14ac:dyDescent="0.25">
      <c r="A10" s="403" t="s">
        <v>94</v>
      </c>
      <c r="B10" s="403" t="s">
        <v>35</v>
      </c>
      <c r="C10" s="405">
        <v>733430760.21000004</v>
      </c>
      <c r="D10" s="405">
        <v>363383540.83999997</v>
      </c>
      <c r="E10" s="405">
        <v>1096814301.05</v>
      </c>
    </row>
    <row r="11" spans="1:5" x14ac:dyDescent="0.25">
      <c r="A11" s="403" t="s">
        <v>95</v>
      </c>
      <c r="B11" s="403" t="s">
        <v>36</v>
      </c>
      <c r="C11" s="405">
        <v>209922263.28999999</v>
      </c>
      <c r="D11" s="405">
        <v>104028106.29000001</v>
      </c>
      <c r="E11" s="405">
        <v>313950369.57999998</v>
      </c>
    </row>
    <row r="12" spans="1:5" x14ac:dyDescent="0.25">
      <c r="A12" s="403" t="s">
        <v>96</v>
      </c>
      <c r="B12" s="403" t="s">
        <v>37</v>
      </c>
      <c r="C12" s="405">
        <v>11237689.59</v>
      </c>
      <c r="D12" s="405">
        <v>5569168.5099999998</v>
      </c>
      <c r="E12" s="405">
        <v>16806858.100000001</v>
      </c>
    </row>
    <row r="13" spans="1:5" x14ac:dyDescent="0.25">
      <c r="A13" s="403" t="s">
        <v>97</v>
      </c>
      <c r="B13" s="403" t="s">
        <v>38</v>
      </c>
      <c r="C13" s="405">
        <v>0</v>
      </c>
      <c r="D13" s="405">
        <v>0</v>
      </c>
      <c r="E13" s="405">
        <v>0</v>
      </c>
    </row>
    <row r="14" spans="1:5" x14ac:dyDescent="0.25">
      <c r="A14" s="406" t="s">
        <v>98</v>
      </c>
      <c r="B14" s="407"/>
      <c r="C14" s="408">
        <f>SUM(C9:C13)</f>
        <v>1326669748.6399999</v>
      </c>
      <c r="D14" s="408">
        <f>SUM(D9:D13)</f>
        <v>657339087.61999989</v>
      </c>
      <c r="E14" s="408">
        <f>SUM(E9:E13)</f>
        <v>1984008836.2599998</v>
      </c>
    </row>
    <row r="16" spans="1:5" x14ac:dyDescent="0.25">
      <c r="A16" s="403" t="s">
        <v>99</v>
      </c>
      <c r="B16" s="403" t="s">
        <v>100</v>
      </c>
      <c r="C16" s="405">
        <v>285739.39</v>
      </c>
      <c r="D16" s="405">
        <v>144474.06</v>
      </c>
      <c r="E16" s="405">
        <v>430213.45</v>
      </c>
    </row>
    <row r="17" spans="1:5" x14ac:dyDescent="0.25">
      <c r="A17" s="403" t="s">
        <v>101</v>
      </c>
      <c r="B17" s="403" t="s">
        <v>102</v>
      </c>
      <c r="C17" s="405">
        <v>563161.43000000005</v>
      </c>
      <c r="D17" s="405">
        <v>284859.05</v>
      </c>
      <c r="E17" s="405">
        <v>848020.47999999998</v>
      </c>
    </row>
    <row r="18" spans="1:5" x14ac:dyDescent="0.25">
      <c r="A18" s="403" t="s">
        <v>103</v>
      </c>
      <c r="B18" s="403" t="s">
        <v>104</v>
      </c>
      <c r="C18" s="405">
        <v>162249.93</v>
      </c>
      <c r="D18" s="405">
        <v>82101.09</v>
      </c>
      <c r="E18" s="405">
        <v>244351.02</v>
      </c>
    </row>
    <row r="19" spans="1:5" x14ac:dyDescent="0.25">
      <c r="A19" s="403" t="s">
        <v>105</v>
      </c>
      <c r="B19" s="403" t="s">
        <v>106</v>
      </c>
      <c r="C19" s="405">
        <v>8258.2199999999993</v>
      </c>
      <c r="D19" s="405">
        <v>4099.1000000000004</v>
      </c>
      <c r="E19" s="405">
        <v>12357.32</v>
      </c>
    </row>
    <row r="20" spans="1:5" x14ac:dyDescent="0.25">
      <c r="A20" s="406" t="s">
        <v>107</v>
      </c>
      <c r="B20" s="407"/>
      <c r="C20" s="408">
        <f>SUM(C16:C19)</f>
        <v>1019408.97</v>
      </c>
      <c r="D20" s="408">
        <f>SUM(D16:D19)</f>
        <v>515533.29999999993</v>
      </c>
      <c r="E20" s="408">
        <f>SUM(E16:E19)</f>
        <v>1534942.27</v>
      </c>
    </row>
    <row r="22" spans="1:5" x14ac:dyDescent="0.25">
      <c r="A22" s="403" t="s">
        <v>108</v>
      </c>
      <c r="B22" s="403" t="s">
        <v>109</v>
      </c>
      <c r="C22" s="405">
        <v>175090.81</v>
      </c>
      <c r="D22" s="405">
        <v>87648.82</v>
      </c>
      <c r="E22" s="405">
        <v>262739.63</v>
      </c>
    </row>
    <row r="23" spans="1:5" x14ac:dyDescent="0.25">
      <c r="A23" s="403" t="s">
        <v>110</v>
      </c>
      <c r="B23" s="403" t="s">
        <v>111</v>
      </c>
      <c r="C23" s="405">
        <v>345000.84</v>
      </c>
      <c r="D23" s="405">
        <v>172704.18</v>
      </c>
      <c r="E23" s="405">
        <v>517705.02</v>
      </c>
    </row>
    <row r="24" spans="1:5" x14ac:dyDescent="0.25">
      <c r="A24" s="403" t="s">
        <v>112</v>
      </c>
      <c r="B24" s="403" t="s">
        <v>113</v>
      </c>
      <c r="C24" s="405">
        <v>98812.4</v>
      </c>
      <c r="D24" s="405">
        <v>49464.61</v>
      </c>
      <c r="E24" s="405">
        <v>148277.01</v>
      </c>
    </row>
    <row r="25" spans="1:5" x14ac:dyDescent="0.25">
      <c r="A25" s="403" t="s">
        <v>114</v>
      </c>
      <c r="B25" s="403" t="s">
        <v>115</v>
      </c>
      <c r="C25" s="405">
        <v>5305.85</v>
      </c>
      <c r="D25" s="405">
        <v>2656</v>
      </c>
      <c r="E25" s="405">
        <v>7961.85</v>
      </c>
    </row>
    <row r="26" spans="1:5" x14ac:dyDescent="0.25">
      <c r="A26" s="406" t="s">
        <v>116</v>
      </c>
      <c r="B26" s="407"/>
      <c r="C26" s="408">
        <f>SUM(C22:C25)</f>
        <v>624209.9</v>
      </c>
      <c r="D26" s="408">
        <f>SUM(D22:D25)</f>
        <v>312473.61</v>
      </c>
      <c r="E26" s="408">
        <f>SUM(E22:E25)</f>
        <v>936683.51</v>
      </c>
    </row>
    <row r="28" spans="1:5" x14ac:dyDescent="0.25">
      <c r="A28" s="403" t="s">
        <v>117</v>
      </c>
      <c r="B28" s="403" t="s">
        <v>118</v>
      </c>
      <c r="C28" s="405">
        <v>0</v>
      </c>
      <c r="D28" s="405">
        <v>0</v>
      </c>
      <c r="E28" s="405">
        <v>0</v>
      </c>
    </row>
    <row r="29" spans="1:5" x14ac:dyDescent="0.25">
      <c r="A29" s="403" t="s">
        <v>119</v>
      </c>
      <c r="B29" s="403" t="s">
        <v>120</v>
      </c>
      <c r="C29" s="405">
        <v>0</v>
      </c>
      <c r="D29" s="405">
        <v>0</v>
      </c>
      <c r="E29" s="405">
        <v>0</v>
      </c>
    </row>
    <row r="30" spans="1:5" x14ac:dyDescent="0.25">
      <c r="A30" s="403" t="s">
        <v>121</v>
      </c>
      <c r="B30" s="403" t="s">
        <v>122</v>
      </c>
      <c r="C30" s="405">
        <v>0</v>
      </c>
      <c r="D30" s="405">
        <v>0</v>
      </c>
      <c r="E30" s="405">
        <v>0</v>
      </c>
    </row>
    <row r="31" spans="1:5" x14ac:dyDescent="0.25">
      <c r="A31" s="403" t="s">
        <v>123</v>
      </c>
      <c r="B31" s="403" t="s">
        <v>124</v>
      </c>
      <c r="C31" s="405">
        <v>0</v>
      </c>
      <c r="D31" s="405">
        <v>0</v>
      </c>
      <c r="E31" s="405">
        <v>0</v>
      </c>
    </row>
    <row r="32" spans="1:5" x14ac:dyDescent="0.25">
      <c r="A32" s="406" t="s">
        <v>125</v>
      </c>
      <c r="B32" s="407"/>
      <c r="C32" s="408">
        <f>SUM(C28:C31)</f>
        <v>0</v>
      </c>
      <c r="D32" s="408">
        <f>SUM(D28:D31)</f>
        <v>0</v>
      </c>
      <c r="E32" s="408">
        <f>SUM(E28:E31)</f>
        <v>0</v>
      </c>
    </row>
    <row r="34" spans="1:5" x14ac:dyDescent="0.25">
      <c r="A34" s="403" t="s">
        <v>126</v>
      </c>
      <c r="B34" s="403" t="s">
        <v>127</v>
      </c>
      <c r="C34" s="405">
        <v>-19772131.440000001</v>
      </c>
      <c r="D34" s="405">
        <v>-5639414.3200000003</v>
      </c>
      <c r="E34" s="405">
        <v>-25411545.760000002</v>
      </c>
    </row>
    <row r="35" spans="1:5" x14ac:dyDescent="0.25">
      <c r="A35" s="403" t="s">
        <v>128</v>
      </c>
      <c r="B35" s="403" t="s">
        <v>129</v>
      </c>
      <c r="C35" s="405">
        <v>-233203.3</v>
      </c>
      <c r="D35" s="405">
        <v>-13548.81</v>
      </c>
      <c r="E35" s="405">
        <v>-246752.11</v>
      </c>
    </row>
    <row r="36" spans="1:5" x14ac:dyDescent="0.25">
      <c r="A36" s="403" t="s">
        <v>130</v>
      </c>
      <c r="B36" s="403" t="s">
        <v>131</v>
      </c>
      <c r="C36" s="405">
        <v>-66461.25</v>
      </c>
      <c r="D36" s="405">
        <v>-3879.83</v>
      </c>
      <c r="E36" s="405">
        <v>-70341.08</v>
      </c>
    </row>
    <row r="37" spans="1:5" x14ac:dyDescent="0.25">
      <c r="A37" s="403" t="s">
        <v>132</v>
      </c>
      <c r="B37" s="403" t="s">
        <v>133</v>
      </c>
      <c r="C37" s="405">
        <v>-2314.9899999999998</v>
      </c>
      <c r="D37" s="405">
        <v>-205.88</v>
      </c>
      <c r="E37" s="405">
        <v>-2520.87</v>
      </c>
    </row>
    <row r="38" spans="1:5" x14ac:dyDescent="0.25">
      <c r="A38" s="406" t="s">
        <v>134</v>
      </c>
      <c r="B38" s="407"/>
      <c r="C38" s="408">
        <f>SUM(C34:C37)</f>
        <v>-20074110.98</v>
      </c>
      <c r="D38" s="408">
        <f>SUM(D34:D37)</f>
        <v>-5657048.8399999999</v>
      </c>
      <c r="E38" s="408">
        <f>SUM(E34:E37)</f>
        <v>-25731159.82</v>
      </c>
    </row>
    <row r="40" spans="1:5" x14ac:dyDescent="0.25">
      <c r="A40" s="403" t="s">
        <v>135</v>
      </c>
      <c r="B40" s="403" t="s">
        <v>136</v>
      </c>
      <c r="C40" s="405">
        <v>-434229148</v>
      </c>
      <c r="D40" s="405">
        <v>-178404948.66</v>
      </c>
      <c r="E40" s="405">
        <v>-612634096.65999997</v>
      </c>
    </row>
    <row r="41" spans="1:5" x14ac:dyDescent="0.25">
      <c r="A41" s="403" t="s">
        <v>137</v>
      </c>
      <c r="B41" s="403" t="s">
        <v>138</v>
      </c>
      <c r="C41" s="405">
        <v>-590693090.63</v>
      </c>
      <c r="D41" s="405">
        <v>-367148707.72000003</v>
      </c>
      <c r="E41" s="405">
        <v>-957841798.35000002</v>
      </c>
    </row>
    <row r="42" spans="1:5" x14ac:dyDescent="0.25">
      <c r="A42" s="403" t="s">
        <v>139</v>
      </c>
      <c r="B42" s="403" t="s">
        <v>140</v>
      </c>
      <c r="C42" s="405">
        <v>-232376128.31999999</v>
      </c>
      <c r="D42" s="405">
        <v>-121297084.26000001</v>
      </c>
      <c r="E42" s="405">
        <v>-353673212.57999998</v>
      </c>
    </row>
    <row r="43" spans="1:5" x14ac:dyDescent="0.25">
      <c r="A43" s="403" t="s">
        <v>141</v>
      </c>
      <c r="B43" s="403" t="s">
        <v>142</v>
      </c>
      <c r="C43" s="405">
        <v>-13583599</v>
      </c>
      <c r="D43" s="405">
        <v>-4522124.1100000003</v>
      </c>
      <c r="E43" s="405">
        <v>-18105723.109999999</v>
      </c>
    </row>
    <row r="44" spans="1:5" x14ac:dyDescent="0.25">
      <c r="A44" s="406" t="s">
        <v>143</v>
      </c>
      <c r="B44" s="407"/>
      <c r="C44" s="408">
        <f>SUM(C40:C43)</f>
        <v>-1270881965.95</v>
      </c>
      <c r="D44" s="408">
        <f>SUM(D40:D43)</f>
        <v>-671372864.75</v>
      </c>
      <c r="E44" s="408">
        <f>SUM(E40:E43)</f>
        <v>-1942254830.6999998</v>
      </c>
    </row>
    <row r="46" spans="1:5" x14ac:dyDescent="0.25">
      <c r="A46" s="406" t="s">
        <v>144</v>
      </c>
      <c r="B46" s="406" t="s">
        <v>39</v>
      </c>
      <c r="C46" s="408">
        <v>0</v>
      </c>
      <c r="D46" s="408">
        <v>0</v>
      </c>
      <c r="E46" s="408">
        <v>0</v>
      </c>
    </row>
    <row r="47" spans="1:5" x14ac:dyDescent="0.25">
      <c r="A47" s="403" t="s">
        <v>145</v>
      </c>
    </row>
    <row r="50" spans="1:5" x14ac:dyDescent="0.25">
      <c r="A50" s="403" t="s">
        <v>146</v>
      </c>
      <c r="B50" s="403" t="s">
        <v>80</v>
      </c>
      <c r="C50" s="405">
        <v>0</v>
      </c>
      <c r="D50" s="405">
        <v>0</v>
      </c>
      <c r="E50" s="405">
        <v>0</v>
      </c>
    </row>
    <row r="51" spans="1:5" x14ac:dyDescent="0.25">
      <c r="A51" s="403" t="s">
        <v>147</v>
      </c>
      <c r="B51" s="403" t="s">
        <v>81</v>
      </c>
      <c r="C51" s="405">
        <v>0</v>
      </c>
      <c r="D51" s="405">
        <v>0</v>
      </c>
      <c r="E51" s="405">
        <v>0</v>
      </c>
    </row>
    <row r="52" spans="1:5" x14ac:dyDescent="0.25">
      <c r="A52" s="403" t="s">
        <v>148</v>
      </c>
      <c r="B52" s="403" t="s">
        <v>82</v>
      </c>
      <c r="C52" s="405">
        <v>0</v>
      </c>
      <c r="D52" s="405">
        <v>0</v>
      </c>
      <c r="E52" s="405">
        <v>0</v>
      </c>
    </row>
    <row r="53" spans="1:5" x14ac:dyDescent="0.25">
      <c r="A53" s="403" t="s">
        <v>149</v>
      </c>
      <c r="B53" s="403" t="s">
        <v>83</v>
      </c>
      <c r="C53" s="405">
        <v>0</v>
      </c>
      <c r="D53" s="405">
        <v>0</v>
      </c>
      <c r="E53" s="405">
        <v>0</v>
      </c>
    </row>
    <row r="54" spans="1:5" x14ac:dyDescent="0.25">
      <c r="A54" s="406" t="s">
        <v>150</v>
      </c>
      <c r="B54" s="407"/>
      <c r="C54" s="408">
        <f>SUM(C50:C53)</f>
        <v>0</v>
      </c>
      <c r="D54" s="408">
        <f>SUM(D50:D53)</f>
        <v>0</v>
      </c>
      <c r="E54" s="408">
        <f>SUM(E50:E53)</f>
        <v>0</v>
      </c>
    </row>
    <row r="56" spans="1:5" x14ac:dyDescent="0.25">
      <c r="A56" s="403" t="s">
        <v>151</v>
      </c>
      <c r="B56" s="403" t="s">
        <v>40</v>
      </c>
      <c r="C56" s="405">
        <v>-7347544.8200000003</v>
      </c>
      <c r="D56" s="405">
        <v>-8667824.2300000004</v>
      </c>
      <c r="E56" s="405">
        <v>-16015369.050000001</v>
      </c>
    </row>
    <row r="57" spans="1:5" x14ac:dyDescent="0.25">
      <c r="A57" s="403" t="s">
        <v>152</v>
      </c>
      <c r="B57" s="403" t="s">
        <v>41</v>
      </c>
      <c r="C57" s="405">
        <v>-3007468.74</v>
      </c>
      <c r="D57" s="405">
        <v>-1763672.48</v>
      </c>
      <c r="E57" s="405">
        <v>-4771141.22</v>
      </c>
    </row>
    <row r="58" spans="1:5" x14ac:dyDescent="0.25">
      <c r="A58" s="403" t="s">
        <v>153</v>
      </c>
      <c r="B58" s="403" t="s">
        <v>42</v>
      </c>
      <c r="C58" s="405">
        <v>-913093.61</v>
      </c>
      <c r="D58" s="405">
        <v>-333613.46000000002</v>
      </c>
      <c r="E58" s="405">
        <v>-1246707.07</v>
      </c>
    </row>
    <row r="59" spans="1:5" x14ac:dyDescent="0.25">
      <c r="A59" s="403" t="s">
        <v>154</v>
      </c>
      <c r="B59" s="403" t="s">
        <v>43</v>
      </c>
      <c r="C59" s="405">
        <v>-1598700.73</v>
      </c>
      <c r="D59" s="405">
        <v>-1413084.69</v>
      </c>
      <c r="E59" s="405">
        <v>-3011785.42</v>
      </c>
    </row>
    <row r="60" spans="1:5" x14ac:dyDescent="0.25">
      <c r="A60" s="406" t="s">
        <v>155</v>
      </c>
      <c r="B60" s="407"/>
      <c r="C60" s="408">
        <f>SUM(C56:C59)</f>
        <v>-12866807.9</v>
      </c>
      <c r="D60" s="408">
        <f>SUM(D56:D59)</f>
        <v>-12178194.860000001</v>
      </c>
      <c r="E60" s="408">
        <f>SUM(E56:E59)</f>
        <v>-25045002.759999998</v>
      </c>
    </row>
    <row r="62" spans="1:5" x14ac:dyDescent="0.25">
      <c r="A62" s="403" t="s">
        <v>156</v>
      </c>
      <c r="B62" s="403" t="s">
        <v>157</v>
      </c>
      <c r="C62" s="405">
        <v>3098035.51</v>
      </c>
      <c r="D62" s="405">
        <v>1341483.96</v>
      </c>
      <c r="E62" s="405">
        <v>4439519.47</v>
      </c>
    </row>
    <row r="63" spans="1:5" x14ac:dyDescent="0.25">
      <c r="A63" s="403" t="s">
        <v>158</v>
      </c>
      <c r="B63" s="403" t="s">
        <v>159</v>
      </c>
      <c r="C63" s="405">
        <v>107610.6</v>
      </c>
      <c r="D63" s="405">
        <v>44307.83</v>
      </c>
      <c r="E63" s="405">
        <v>151918.43</v>
      </c>
    </row>
    <row r="64" spans="1:5" x14ac:dyDescent="0.25">
      <c r="A64" s="403" t="s">
        <v>160</v>
      </c>
      <c r="B64" s="403" t="s">
        <v>161</v>
      </c>
      <c r="C64" s="405">
        <v>133558.24</v>
      </c>
      <c r="D64" s="405">
        <v>52413.34</v>
      </c>
      <c r="E64" s="405">
        <v>185971.58</v>
      </c>
    </row>
    <row r="65" spans="1:5" x14ac:dyDescent="0.25">
      <c r="A65" s="403" t="s">
        <v>162</v>
      </c>
      <c r="B65" s="403" t="s">
        <v>163</v>
      </c>
      <c r="C65" s="405">
        <v>434043.6</v>
      </c>
      <c r="D65" s="405">
        <v>194688.61</v>
      </c>
      <c r="E65" s="405">
        <v>628732.21</v>
      </c>
    </row>
    <row r="66" spans="1:5" x14ac:dyDescent="0.25">
      <c r="A66" s="406" t="s">
        <v>164</v>
      </c>
      <c r="B66" s="407"/>
      <c r="C66" s="408">
        <f>SUM(C62:C65)</f>
        <v>3773247.9499999997</v>
      </c>
      <c r="D66" s="408">
        <f>SUM(D62:D65)</f>
        <v>1632893.7400000002</v>
      </c>
      <c r="E66" s="408">
        <f>SUM(E62:E65)</f>
        <v>5406141.6899999995</v>
      </c>
    </row>
    <row r="68" spans="1:5" x14ac:dyDescent="0.25">
      <c r="A68" s="406" t="s">
        <v>31</v>
      </c>
      <c r="B68" s="407"/>
      <c r="C68" s="408">
        <f>C14+C20+C26+C32+C38+C44+C46+C54+C60+C66</f>
        <v>28263730.629999924</v>
      </c>
      <c r="D68" s="408">
        <f>D14+D20+D26+D32+D38+D44+D46+D54+D60+D66</f>
        <v>-29408120.180000179</v>
      </c>
      <c r="E68" s="408">
        <f>E14+E20+E26+E32+E38+E44+E46+E54+E60+E66</f>
        <v>-1144389.5500000175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42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5" width="22.6640625" style="343" customWidth="1"/>
    <col min="6" max="16384" width="9.109375" style="367"/>
  </cols>
  <sheetData>
    <row r="1" spans="1:5" x14ac:dyDescent="0.25">
      <c r="A1" s="366" t="s">
        <v>53</v>
      </c>
      <c r="B1" s="366"/>
      <c r="C1" s="338"/>
      <c r="D1" s="338"/>
      <c r="E1" s="338"/>
    </row>
    <row r="2" spans="1:5" x14ac:dyDescent="0.25">
      <c r="A2" s="368" t="s">
        <v>86</v>
      </c>
      <c r="B2" s="368"/>
      <c r="C2" s="340"/>
      <c r="D2" s="340"/>
      <c r="E2" s="340"/>
    </row>
    <row r="3" spans="1:5" x14ac:dyDescent="0.25">
      <c r="A3" s="366" t="s">
        <v>289</v>
      </c>
      <c r="B3" s="366"/>
      <c r="C3" s="338"/>
      <c r="D3" s="338"/>
      <c r="E3" s="338"/>
    </row>
    <row r="4" spans="1:5" x14ac:dyDescent="0.25">
      <c r="A4" s="366" t="s">
        <v>88</v>
      </c>
      <c r="B4" s="366"/>
      <c r="C4" s="338"/>
      <c r="D4" s="338"/>
      <c r="E4" s="338"/>
    </row>
    <row r="5" spans="1:5" x14ac:dyDescent="0.25">
      <c r="A5" s="369" t="s">
        <v>290</v>
      </c>
      <c r="B5" s="369"/>
      <c r="C5" s="342"/>
      <c r="D5" s="342"/>
      <c r="E5" s="342"/>
    </row>
    <row r="7" spans="1:5" x14ac:dyDescent="0.25">
      <c r="B7" s="370" t="s">
        <v>30</v>
      </c>
      <c r="C7" s="345" t="s">
        <v>90</v>
      </c>
      <c r="D7" s="345" t="s">
        <v>205</v>
      </c>
      <c r="E7" s="345" t="s">
        <v>92</v>
      </c>
    </row>
    <row r="9" spans="1:5" x14ac:dyDescent="0.25">
      <c r="A9" s="371" t="s">
        <v>93</v>
      </c>
      <c r="B9" s="371" t="s">
        <v>34</v>
      </c>
      <c r="C9" s="347">
        <v>186378496.91</v>
      </c>
      <c r="D9" s="347">
        <v>185700538.63999999</v>
      </c>
      <c r="E9" s="347">
        <v>372079035.55000001</v>
      </c>
    </row>
    <row r="10" spans="1:5" x14ac:dyDescent="0.25">
      <c r="A10" s="371" t="s">
        <v>94</v>
      </c>
      <c r="B10" s="371" t="s">
        <v>35</v>
      </c>
      <c r="C10" s="343">
        <v>367564080.88999999</v>
      </c>
      <c r="D10" s="343">
        <v>365866679.31999999</v>
      </c>
      <c r="E10" s="343">
        <v>733430760.21000004</v>
      </c>
    </row>
    <row r="11" spans="1:5" x14ac:dyDescent="0.25">
      <c r="A11" s="371" t="s">
        <v>95</v>
      </c>
      <c r="B11" s="371" t="s">
        <v>36</v>
      </c>
      <c r="C11" s="343">
        <v>105060365.02</v>
      </c>
      <c r="D11" s="343">
        <v>104861898.27</v>
      </c>
      <c r="E11" s="343">
        <v>209922263.28999999</v>
      </c>
    </row>
    <row r="12" spans="1:5" x14ac:dyDescent="0.25">
      <c r="A12" s="371" t="s">
        <v>96</v>
      </c>
      <c r="B12" s="371" t="s">
        <v>37</v>
      </c>
      <c r="C12" s="343">
        <v>5643962.9900000002</v>
      </c>
      <c r="D12" s="343">
        <v>5593726.5999999996</v>
      </c>
      <c r="E12" s="343">
        <v>11237689.59</v>
      </c>
    </row>
    <row r="13" spans="1:5" x14ac:dyDescent="0.25">
      <c r="A13" s="371" t="s">
        <v>97</v>
      </c>
      <c r="B13" s="371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72" t="s">
        <v>98</v>
      </c>
      <c r="B14" s="373"/>
      <c r="C14" s="350">
        <f>SUM(C9:C13)</f>
        <v>664646905.80999994</v>
      </c>
      <c r="D14" s="350">
        <f>SUM(D9:D13)</f>
        <v>662022842.83000004</v>
      </c>
      <c r="E14" s="350">
        <f>SUM(E9:E13)</f>
        <v>1326669748.6399999</v>
      </c>
    </row>
    <row r="16" spans="1:5" x14ac:dyDescent="0.25">
      <c r="A16" s="371" t="s">
        <v>99</v>
      </c>
      <c r="B16" s="371" t="s">
        <v>100</v>
      </c>
      <c r="C16" s="343">
        <v>140720.95000000001</v>
      </c>
      <c r="D16" s="343">
        <v>145018.44</v>
      </c>
      <c r="E16" s="343">
        <v>285739.39</v>
      </c>
    </row>
    <row r="17" spans="1:5" x14ac:dyDescent="0.25">
      <c r="A17" s="371" t="s">
        <v>101</v>
      </c>
      <c r="B17" s="371" t="s">
        <v>102</v>
      </c>
      <c r="C17" s="343">
        <v>277703.11</v>
      </c>
      <c r="D17" s="343">
        <v>285458.32</v>
      </c>
      <c r="E17" s="343">
        <v>563161.43000000005</v>
      </c>
    </row>
    <row r="18" spans="1:5" x14ac:dyDescent="0.25">
      <c r="A18" s="371" t="s">
        <v>103</v>
      </c>
      <c r="B18" s="371" t="s">
        <v>104</v>
      </c>
      <c r="C18" s="343">
        <v>80090.539999999994</v>
      </c>
      <c r="D18" s="343">
        <v>82159.39</v>
      </c>
      <c r="E18" s="343">
        <v>162249.93</v>
      </c>
    </row>
    <row r="19" spans="1:5" x14ac:dyDescent="0.25">
      <c r="A19" s="371" t="s">
        <v>105</v>
      </c>
      <c r="B19" s="371" t="s">
        <v>106</v>
      </c>
      <c r="C19" s="343">
        <v>4158.55</v>
      </c>
      <c r="D19" s="343">
        <v>4099.67</v>
      </c>
      <c r="E19" s="343">
        <v>8258.2199999999993</v>
      </c>
    </row>
    <row r="20" spans="1:5" x14ac:dyDescent="0.25">
      <c r="A20" s="372" t="s">
        <v>107</v>
      </c>
      <c r="B20" s="373"/>
      <c r="C20" s="350">
        <f>SUM(C16:C19)</f>
        <v>502673.14999999997</v>
      </c>
      <c r="D20" s="350">
        <f>SUM(D16:D19)</f>
        <v>516735.82</v>
      </c>
      <c r="E20" s="350">
        <f>SUM(E16:E19)</f>
        <v>1019408.97</v>
      </c>
    </row>
    <row r="22" spans="1:5" x14ac:dyDescent="0.25">
      <c r="A22" s="371" t="s">
        <v>108</v>
      </c>
      <c r="B22" s="371" t="s">
        <v>109</v>
      </c>
      <c r="C22" s="343">
        <v>91168</v>
      </c>
      <c r="D22" s="343">
        <v>83922.81</v>
      </c>
      <c r="E22" s="343">
        <v>175090.81</v>
      </c>
    </row>
    <row r="23" spans="1:5" x14ac:dyDescent="0.25">
      <c r="A23" s="371" t="s">
        <v>110</v>
      </c>
      <c r="B23" s="371" t="s">
        <v>111</v>
      </c>
      <c r="C23" s="343">
        <v>179638.42</v>
      </c>
      <c r="D23" s="343">
        <v>165362.42000000001</v>
      </c>
      <c r="E23" s="343">
        <v>345000.84</v>
      </c>
    </row>
    <row r="24" spans="1:5" x14ac:dyDescent="0.25">
      <c r="A24" s="371" t="s">
        <v>112</v>
      </c>
      <c r="B24" s="371" t="s">
        <v>113</v>
      </c>
      <c r="C24" s="343">
        <v>51450.62</v>
      </c>
      <c r="D24" s="343">
        <v>47361.78</v>
      </c>
      <c r="E24" s="343">
        <v>98812.4</v>
      </c>
    </row>
    <row r="25" spans="1:5" x14ac:dyDescent="0.25">
      <c r="A25" s="371" t="s">
        <v>114</v>
      </c>
      <c r="B25" s="371" t="s">
        <v>115</v>
      </c>
      <c r="C25" s="343">
        <v>2762.73</v>
      </c>
      <c r="D25" s="343">
        <v>2543.12</v>
      </c>
      <c r="E25" s="343">
        <v>5305.85</v>
      </c>
    </row>
    <row r="26" spans="1:5" x14ac:dyDescent="0.25">
      <c r="A26" s="372" t="s">
        <v>116</v>
      </c>
      <c r="B26" s="373"/>
      <c r="C26" s="350">
        <f>SUM(C22:C25)</f>
        <v>325019.77</v>
      </c>
      <c r="D26" s="350">
        <f>SUM(D22:D25)</f>
        <v>299190.13</v>
      </c>
      <c r="E26" s="350">
        <f>SUM(E22:E25)</f>
        <v>624209.9</v>
      </c>
    </row>
    <row r="28" spans="1:5" x14ac:dyDescent="0.25">
      <c r="A28" s="371" t="s">
        <v>117</v>
      </c>
      <c r="B28" s="371" t="s">
        <v>118</v>
      </c>
      <c r="C28" s="343">
        <v>0</v>
      </c>
      <c r="D28" s="343">
        <v>0</v>
      </c>
      <c r="E28" s="343">
        <v>0</v>
      </c>
    </row>
    <row r="29" spans="1:5" x14ac:dyDescent="0.25">
      <c r="A29" s="371" t="s">
        <v>119</v>
      </c>
      <c r="B29" s="371" t="s">
        <v>120</v>
      </c>
      <c r="C29" s="343">
        <v>0</v>
      </c>
      <c r="D29" s="343">
        <v>0</v>
      </c>
      <c r="E29" s="343">
        <v>0</v>
      </c>
    </row>
    <row r="30" spans="1:5" x14ac:dyDescent="0.25">
      <c r="A30" s="371" t="s">
        <v>121</v>
      </c>
      <c r="B30" s="371" t="s">
        <v>122</v>
      </c>
      <c r="C30" s="343">
        <v>0</v>
      </c>
      <c r="D30" s="343">
        <v>0</v>
      </c>
      <c r="E30" s="343">
        <v>0</v>
      </c>
    </row>
    <row r="31" spans="1:5" x14ac:dyDescent="0.25">
      <c r="A31" s="371" t="s">
        <v>123</v>
      </c>
      <c r="B31" s="371" t="s">
        <v>124</v>
      </c>
      <c r="C31" s="343">
        <v>0</v>
      </c>
      <c r="D31" s="343">
        <v>0</v>
      </c>
      <c r="E31" s="343">
        <v>0</v>
      </c>
    </row>
    <row r="32" spans="1:5" x14ac:dyDescent="0.25">
      <c r="A32" s="372" t="s">
        <v>125</v>
      </c>
      <c r="B32" s="373"/>
      <c r="C32" s="350">
        <f>SUM(C28:C31)</f>
        <v>0</v>
      </c>
      <c r="D32" s="350">
        <f>SUM(D28:D31)</f>
        <v>0</v>
      </c>
      <c r="E32" s="350">
        <f>SUM(E28:E31)</f>
        <v>0</v>
      </c>
    </row>
    <row r="34" spans="1:5" x14ac:dyDescent="0.25">
      <c r="A34" s="371" t="s">
        <v>126</v>
      </c>
      <c r="B34" s="371" t="s">
        <v>127</v>
      </c>
      <c r="C34" s="343">
        <v>-9793166.8100000005</v>
      </c>
      <c r="D34" s="343">
        <v>-9978964.6300000008</v>
      </c>
      <c r="E34" s="343">
        <v>-19772131.440000001</v>
      </c>
    </row>
    <row r="35" spans="1:5" x14ac:dyDescent="0.25">
      <c r="A35" s="371" t="s">
        <v>128</v>
      </c>
      <c r="B35" s="371" t="s">
        <v>129</v>
      </c>
      <c r="C35" s="343">
        <v>-379162.51</v>
      </c>
      <c r="D35" s="343">
        <v>145959.21</v>
      </c>
      <c r="E35" s="343">
        <v>-233203.3</v>
      </c>
    </row>
    <row r="36" spans="1:5" x14ac:dyDescent="0.25">
      <c r="A36" s="371" t="s">
        <v>130</v>
      </c>
      <c r="B36" s="371" t="s">
        <v>131</v>
      </c>
      <c r="C36" s="343">
        <v>-108258.18</v>
      </c>
      <c r="D36" s="343">
        <v>41796.93</v>
      </c>
      <c r="E36" s="343">
        <v>-66461.25</v>
      </c>
    </row>
    <row r="37" spans="1:5" x14ac:dyDescent="0.25">
      <c r="A37" s="371" t="s">
        <v>132</v>
      </c>
      <c r="B37" s="371" t="s">
        <v>133</v>
      </c>
      <c r="C37" s="343">
        <v>-4532.8999999999996</v>
      </c>
      <c r="D37" s="343">
        <v>2217.91</v>
      </c>
      <c r="E37" s="343">
        <v>-2314.9899999999998</v>
      </c>
    </row>
    <row r="38" spans="1:5" x14ac:dyDescent="0.25">
      <c r="A38" s="372" t="s">
        <v>134</v>
      </c>
      <c r="B38" s="373"/>
      <c r="C38" s="350">
        <f>SUM(C34:C37)</f>
        <v>-10285120.4</v>
      </c>
      <c r="D38" s="350">
        <f>SUM(D34:D37)</f>
        <v>-9788990.5800000001</v>
      </c>
      <c r="E38" s="350">
        <f>SUM(E34:E37)</f>
        <v>-20074110.98</v>
      </c>
    </row>
    <row r="40" spans="1:5" x14ac:dyDescent="0.25">
      <c r="A40" s="371" t="s">
        <v>135</v>
      </c>
      <c r="B40" s="371" t="s">
        <v>136</v>
      </c>
      <c r="C40" s="343">
        <v>-293300095.19</v>
      </c>
      <c r="D40" s="343">
        <v>-140929052.81</v>
      </c>
      <c r="E40" s="343">
        <v>-434229148</v>
      </c>
    </row>
    <row r="41" spans="1:5" x14ac:dyDescent="0.25">
      <c r="A41" s="371" t="s">
        <v>137</v>
      </c>
      <c r="B41" s="371" t="s">
        <v>138</v>
      </c>
      <c r="C41" s="343">
        <v>-376271268.63</v>
      </c>
      <c r="D41" s="343">
        <v>-214421822</v>
      </c>
      <c r="E41" s="343">
        <v>-590693090.63</v>
      </c>
    </row>
    <row r="42" spans="1:5" x14ac:dyDescent="0.25">
      <c r="A42" s="371" t="s">
        <v>139</v>
      </c>
      <c r="B42" s="371" t="s">
        <v>140</v>
      </c>
      <c r="C42" s="343">
        <v>-115189529.31999999</v>
      </c>
      <c r="D42" s="343">
        <v>-117186599</v>
      </c>
      <c r="E42" s="343">
        <v>-232376128.31999999</v>
      </c>
    </row>
    <row r="43" spans="1:5" x14ac:dyDescent="0.25">
      <c r="A43" s="371" t="s">
        <v>141</v>
      </c>
      <c r="B43" s="371" t="s">
        <v>142</v>
      </c>
      <c r="C43" s="343">
        <v>-7930296.4800000004</v>
      </c>
      <c r="D43" s="343">
        <v>-5653302.5199999996</v>
      </c>
      <c r="E43" s="343">
        <v>-13583599</v>
      </c>
    </row>
    <row r="44" spans="1:5" x14ac:dyDescent="0.25">
      <c r="A44" s="372" t="s">
        <v>143</v>
      </c>
      <c r="B44" s="373"/>
      <c r="C44" s="350">
        <f>SUM(C40:C43)</f>
        <v>-792691189.61999989</v>
      </c>
      <c r="D44" s="350">
        <f>SUM(D40:D43)</f>
        <v>-478190776.32999998</v>
      </c>
      <c r="E44" s="350">
        <f>SUM(E40:E43)</f>
        <v>-1270881965.95</v>
      </c>
    </row>
    <row r="46" spans="1:5" x14ac:dyDescent="0.25">
      <c r="A46" s="372" t="s">
        <v>144</v>
      </c>
      <c r="B46" s="372" t="s">
        <v>39</v>
      </c>
      <c r="C46" s="350">
        <v>0</v>
      </c>
      <c r="D46" s="350">
        <v>0</v>
      </c>
      <c r="E46" s="350">
        <v>0</v>
      </c>
    </row>
    <row r="47" spans="1:5" x14ac:dyDescent="0.25">
      <c r="A47" s="371" t="s">
        <v>145</v>
      </c>
    </row>
    <row r="50" spans="1:5" x14ac:dyDescent="0.25">
      <c r="A50" s="371" t="s">
        <v>146</v>
      </c>
      <c r="B50" s="371" t="s">
        <v>80</v>
      </c>
      <c r="C50" s="343">
        <v>0</v>
      </c>
      <c r="D50" s="343">
        <v>0</v>
      </c>
      <c r="E50" s="343">
        <v>0</v>
      </c>
    </row>
    <row r="51" spans="1:5" x14ac:dyDescent="0.25">
      <c r="A51" s="371" t="s">
        <v>147</v>
      </c>
      <c r="B51" s="371" t="s">
        <v>81</v>
      </c>
      <c r="C51" s="343">
        <v>0</v>
      </c>
      <c r="D51" s="343">
        <v>0</v>
      </c>
      <c r="E51" s="343">
        <v>0</v>
      </c>
    </row>
    <row r="52" spans="1:5" x14ac:dyDescent="0.25">
      <c r="A52" s="371" t="s">
        <v>148</v>
      </c>
      <c r="B52" s="371" t="s">
        <v>82</v>
      </c>
      <c r="C52" s="343">
        <v>0</v>
      </c>
      <c r="D52" s="343">
        <v>0</v>
      </c>
      <c r="E52" s="343">
        <v>0</v>
      </c>
    </row>
    <row r="53" spans="1:5" x14ac:dyDescent="0.25">
      <c r="A53" s="371" t="s">
        <v>149</v>
      </c>
      <c r="B53" s="371" t="s">
        <v>83</v>
      </c>
      <c r="C53" s="343">
        <v>0</v>
      </c>
      <c r="D53" s="343">
        <v>0</v>
      </c>
      <c r="E53" s="343">
        <v>0</v>
      </c>
    </row>
    <row r="54" spans="1:5" x14ac:dyDescent="0.25">
      <c r="A54" s="372" t="s">
        <v>150</v>
      </c>
      <c r="B54" s="373"/>
      <c r="C54" s="350">
        <f>SUM(C50:C53)</f>
        <v>0</v>
      </c>
      <c r="D54" s="350">
        <f>SUM(D50:D53)</f>
        <v>0</v>
      </c>
      <c r="E54" s="350">
        <f>SUM(E50:E53)</f>
        <v>0</v>
      </c>
    </row>
    <row r="56" spans="1:5" x14ac:dyDescent="0.25">
      <c r="A56" s="371" t="s">
        <v>151</v>
      </c>
      <c r="B56" s="371" t="s">
        <v>40</v>
      </c>
      <c r="C56" s="343">
        <v>-4675195.9000000004</v>
      </c>
      <c r="D56" s="343">
        <v>-2672348.92</v>
      </c>
      <c r="E56" s="343">
        <v>-7347544.8200000003</v>
      </c>
    </row>
    <row r="57" spans="1:5" x14ac:dyDescent="0.25">
      <c r="A57" s="371" t="s">
        <v>152</v>
      </c>
      <c r="B57" s="371" t="s">
        <v>41</v>
      </c>
      <c r="C57" s="343">
        <v>-1410699.53</v>
      </c>
      <c r="D57" s="343">
        <v>-1596769.21</v>
      </c>
      <c r="E57" s="343">
        <v>-3007468.74</v>
      </c>
    </row>
    <row r="58" spans="1:5" x14ac:dyDescent="0.25">
      <c r="A58" s="371" t="s">
        <v>153</v>
      </c>
      <c r="B58" s="371" t="s">
        <v>42</v>
      </c>
      <c r="C58" s="343">
        <v>-600061.92000000004</v>
      </c>
      <c r="D58" s="343">
        <v>-313031.69</v>
      </c>
      <c r="E58" s="343">
        <v>-913093.61</v>
      </c>
    </row>
    <row r="59" spans="1:5" x14ac:dyDescent="0.25">
      <c r="A59" s="371" t="s">
        <v>154</v>
      </c>
      <c r="B59" s="371" t="s">
        <v>43</v>
      </c>
      <c r="C59" s="343">
        <v>-1153567.52</v>
      </c>
      <c r="D59" s="343">
        <v>-445133.21</v>
      </c>
      <c r="E59" s="343">
        <v>-1598700.73</v>
      </c>
    </row>
    <row r="60" spans="1:5" x14ac:dyDescent="0.25">
      <c r="A60" s="372" t="s">
        <v>155</v>
      </c>
      <c r="B60" s="373"/>
      <c r="C60" s="350">
        <f>SUM(C56:C59)</f>
        <v>-7839524.870000001</v>
      </c>
      <c r="D60" s="350">
        <f>SUM(D56:D59)</f>
        <v>-5027283.03</v>
      </c>
      <c r="E60" s="350">
        <f>SUM(E56:E59)</f>
        <v>-12866807.9</v>
      </c>
    </row>
    <row r="62" spans="1:5" x14ac:dyDescent="0.25">
      <c r="A62" s="371" t="s">
        <v>156</v>
      </c>
      <c r="B62" s="371" t="s">
        <v>157</v>
      </c>
      <c r="C62" s="343">
        <v>1336582.27</v>
      </c>
      <c r="D62" s="343">
        <v>1761453.24</v>
      </c>
      <c r="E62" s="343">
        <v>3098035.51</v>
      </c>
    </row>
    <row r="63" spans="1:5" x14ac:dyDescent="0.25">
      <c r="A63" s="371" t="s">
        <v>158</v>
      </c>
      <c r="B63" s="371" t="s">
        <v>159</v>
      </c>
      <c r="C63" s="343">
        <v>48213.38</v>
      </c>
      <c r="D63" s="343">
        <v>59397.22</v>
      </c>
      <c r="E63" s="343">
        <v>107610.6</v>
      </c>
    </row>
    <row r="64" spans="1:5" x14ac:dyDescent="0.25">
      <c r="A64" s="371" t="s">
        <v>160</v>
      </c>
      <c r="B64" s="371" t="s">
        <v>161</v>
      </c>
      <c r="C64" s="343">
        <v>52145.919999999998</v>
      </c>
      <c r="D64" s="343">
        <v>81412.320000000007</v>
      </c>
      <c r="E64" s="343">
        <v>133558.24</v>
      </c>
    </row>
    <row r="65" spans="1:5" x14ac:dyDescent="0.25">
      <c r="A65" s="371" t="s">
        <v>162</v>
      </c>
      <c r="B65" s="371" t="s">
        <v>163</v>
      </c>
      <c r="C65" s="343">
        <v>175027.15</v>
      </c>
      <c r="D65" s="343">
        <v>259016.45</v>
      </c>
      <c r="E65" s="343">
        <v>434043.6</v>
      </c>
    </row>
    <row r="66" spans="1:5" x14ac:dyDescent="0.25">
      <c r="A66" s="372" t="s">
        <v>164</v>
      </c>
      <c r="B66" s="373"/>
      <c r="C66" s="350">
        <f>SUM(C62:C65)</f>
        <v>1611968.7199999997</v>
      </c>
      <c r="D66" s="350">
        <f>SUM(D62:D65)</f>
        <v>2161279.23</v>
      </c>
      <c r="E66" s="350">
        <f>SUM(E62:E65)</f>
        <v>3773247.9499999997</v>
      </c>
    </row>
    <row r="68" spans="1:5" x14ac:dyDescent="0.25">
      <c r="A68" s="372" t="s">
        <v>31</v>
      </c>
      <c r="B68" s="373"/>
      <c r="C68" s="350">
        <f>C14+C20+C26+C32+C38+C44+C46+C54+C60+C66</f>
        <v>-143729267.43999997</v>
      </c>
      <c r="D68" s="350">
        <f>D14+D20+D26+D32+D38+D44+D46+D54+D60+D66</f>
        <v>171992998.07000005</v>
      </c>
      <c r="E68" s="350">
        <f>E14+E20+E26+E32+E38+E44+E46+E54+E60+E66</f>
        <v>28263730.629999924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6" activePane="bottomLeft" state="frozenSplit"/>
      <selection pane="bottomLeft" activeCell="D36" sqref="D36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5" width="22.6640625" style="343" customWidth="1"/>
    <col min="6" max="16384" width="9.109375" style="367"/>
  </cols>
  <sheetData>
    <row r="1" spans="1:5" x14ac:dyDescent="0.25">
      <c r="A1" s="366" t="s">
        <v>53</v>
      </c>
      <c r="B1" s="366"/>
      <c r="C1" s="338"/>
      <c r="D1" s="338"/>
      <c r="E1" s="338"/>
    </row>
    <row r="2" spans="1:5" x14ac:dyDescent="0.25">
      <c r="A2" s="368" t="s">
        <v>86</v>
      </c>
      <c r="B2" s="368"/>
      <c r="C2" s="340"/>
      <c r="D2" s="340"/>
      <c r="E2" s="340"/>
    </row>
    <row r="3" spans="1:5" x14ac:dyDescent="0.25">
      <c r="A3" s="366" t="s">
        <v>287</v>
      </c>
      <c r="B3" s="366"/>
      <c r="C3" s="338"/>
      <c r="D3" s="338"/>
      <c r="E3" s="338"/>
    </row>
    <row r="4" spans="1:5" x14ac:dyDescent="0.25">
      <c r="A4" s="366" t="s">
        <v>88</v>
      </c>
      <c r="B4" s="366"/>
      <c r="C4" s="338"/>
      <c r="D4" s="338"/>
      <c r="E4" s="338"/>
    </row>
    <row r="5" spans="1:5" x14ac:dyDescent="0.25">
      <c r="A5" s="369" t="s">
        <v>288</v>
      </c>
      <c r="B5" s="369"/>
      <c r="C5" s="342"/>
      <c r="D5" s="342"/>
      <c r="E5" s="342"/>
    </row>
    <row r="7" spans="1:5" x14ac:dyDescent="0.25">
      <c r="B7" s="370" t="s">
        <v>30</v>
      </c>
      <c r="C7" s="345" t="s">
        <v>90</v>
      </c>
      <c r="D7" s="345" t="s">
        <v>202</v>
      </c>
      <c r="E7" s="345" t="s">
        <v>92</v>
      </c>
    </row>
    <row r="9" spans="1:5" x14ac:dyDescent="0.25">
      <c r="A9" s="371" t="s">
        <v>93</v>
      </c>
      <c r="B9" s="371" t="s">
        <v>34</v>
      </c>
      <c r="C9" s="347">
        <v>0</v>
      </c>
      <c r="D9" s="347">
        <v>186378496.91</v>
      </c>
      <c r="E9" s="347">
        <v>186378496.91</v>
      </c>
    </row>
    <row r="10" spans="1:5" x14ac:dyDescent="0.25">
      <c r="A10" s="371" t="s">
        <v>94</v>
      </c>
      <c r="B10" s="371" t="s">
        <v>35</v>
      </c>
      <c r="C10" s="343">
        <v>0</v>
      </c>
      <c r="D10" s="343">
        <v>367564080.88999999</v>
      </c>
      <c r="E10" s="343">
        <v>367564080.88999999</v>
      </c>
    </row>
    <row r="11" spans="1:5" x14ac:dyDescent="0.25">
      <c r="A11" s="371" t="s">
        <v>95</v>
      </c>
      <c r="B11" s="371" t="s">
        <v>36</v>
      </c>
      <c r="C11" s="343">
        <v>0</v>
      </c>
      <c r="D11" s="343">
        <v>105060365.02</v>
      </c>
      <c r="E11" s="343">
        <v>105060365.02</v>
      </c>
    </row>
    <row r="12" spans="1:5" x14ac:dyDescent="0.25">
      <c r="A12" s="371" t="s">
        <v>96</v>
      </c>
      <c r="B12" s="371" t="s">
        <v>37</v>
      </c>
      <c r="C12" s="343">
        <v>0</v>
      </c>
      <c r="D12" s="343">
        <v>5643962.9900000002</v>
      </c>
      <c r="E12" s="343">
        <v>5643962.9900000002</v>
      </c>
    </row>
    <row r="13" spans="1:5" x14ac:dyDescent="0.25">
      <c r="A13" s="371" t="s">
        <v>97</v>
      </c>
      <c r="B13" s="371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72" t="s">
        <v>98</v>
      </c>
      <c r="B14" s="373"/>
      <c r="C14" s="350">
        <f>SUM(C9:C13)</f>
        <v>0</v>
      </c>
      <c r="D14" s="350">
        <f>SUM(D9:D13)</f>
        <v>664646905.80999994</v>
      </c>
      <c r="E14" s="350">
        <f>SUM(E9:E13)</f>
        <v>664646905.80999994</v>
      </c>
    </row>
    <row r="16" spans="1:5" x14ac:dyDescent="0.25">
      <c r="A16" s="371" t="s">
        <v>99</v>
      </c>
      <c r="B16" s="371" t="s">
        <v>100</v>
      </c>
      <c r="C16" s="343">
        <v>0</v>
      </c>
      <c r="D16" s="343">
        <v>140720.95000000001</v>
      </c>
      <c r="E16" s="343">
        <v>140720.95000000001</v>
      </c>
    </row>
    <row r="17" spans="1:5" x14ac:dyDescent="0.25">
      <c r="A17" s="371" t="s">
        <v>101</v>
      </c>
      <c r="B17" s="371" t="s">
        <v>102</v>
      </c>
      <c r="C17" s="343">
        <v>0</v>
      </c>
      <c r="D17" s="343">
        <v>277703.11</v>
      </c>
      <c r="E17" s="343">
        <v>277703.11</v>
      </c>
    </row>
    <row r="18" spans="1:5" x14ac:dyDescent="0.25">
      <c r="A18" s="371" t="s">
        <v>103</v>
      </c>
      <c r="B18" s="371" t="s">
        <v>104</v>
      </c>
      <c r="C18" s="343">
        <v>0</v>
      </c>
      <c r="D18" s="343">
        <v>80090.539999999994</v>
      </c>
      <c r="E18" s="343">
        <v>80090.539999999994</v>
      </c>
    </row>
    <row r="19" spans="1:5" x14ac:dyDescent="0.25">
      <c r="A19" s="371" t="s">
        <v>105</v>
      </c>
      <c r="B19" s="371" t="s">
        <v>106</v>
      </c>
      <c r="C19" s="343">
        <v>0</v>
      </c>
      <c r="D19" s="343">
        <v>4158.55</v>
      </c>
      <c r="E19" s="343">
        <v>4158.55</v>
      </c>
    </row>
    <row r="20" spans="1:5" x14ac:dyDescent="0.25">
      <c r="A20" s="372" t="s">
        <v>107</v>
      </c>
      <c r="B20" s="373"/>
      <c r="C20" s="350">
        <f>SUM(C16:C19)</f>
        <v>0</v>
      </c>
      <c r="D20" s="350">
        <f>SUM(D16:D19)</f>
        <v>502673.14999999997</v>
      </c>
      <c r="E20" s="350">
        <f>SUM(E16:E19)</f>
        <v>502673.14999999997</v>
      </c>
    </row>
    <row r="22" spans="1:5" x14ac:dyDescent="0.25">
      <c r="A22" s="371" t="s">
        <v>108</v>
      </c>
      <c r="B22" s="371" t="s">
        <v>109</v>
      </c>
      <c r="C22" s="343">
        <v>0</v>
      </c>
      <c r="D22" s="343">
        <v>91168</v>
      </c>
      <c r="E22" s="343">
        <v>91168</v>
      </c>
    </row>
    <row r="23" spans="1:5" x14ac:dyDescent="0.25">
      <c r="A23" s="371" t="s">
        <v>110</v>
      </c>
      <c r="B23" s="371" t="s">
        <v>111</v>
      </c>
      <c r="C23" s="343">
        <v>0</v>
      </c>
      <c r="D23" s="343">
        <v>179638.42</v>
      </c>
      <c r="E23" s="343">
        <v>179638.42</v>
      </c>
    </row>
    <row r="24" spans="1:5" x14ac:dyDescent="0.25">
      <c r="A24" s="371" t="s">
        <v>112</v>
      </c>
      <c r="B24" s="371" t="s">
        <v>113</v>
      </c>
      <c r="C24" s="343">
        <v>0</v>
      </c>
      <c r="D24" s="343">
        <v>51450.62</v>
      </c>
      <c r="E24" s="343">
        <v>51450.62</v>
      </c>
    </row>
    <row r="25" spans="1:5" x14ac:dyDescent="0.25">
      <c r="A25" s="371" t="s">
        <v>114</v>
      </c>
      <c r="B25" s="371" t="s">
        <v>115</v>
      </c>
      <c r="C25" s="343">
        <v>0</v>
      </c>
      <c r="D25" s="343">
        <v>2762.73</v>
      </c>
      <c r="E25" s="343">
        <v>2762.73</v>
      </c>
    </row>
    <row r="26" spans="1:5" x14ac:dyDescent="0.25">
      <c r="A26" s="372" t="s">
        <v>116</v>
      </c>
      <c r="B26" s="373"/>
      <c r="C26" s="350">
        <f>SUM(C22:C25)</f>
        <v>0</v>
      </c>
      <c r="D26" s="350">
        <f>SUM(D22:D25)</f>
        <v>325019.77</v>
      </c>
      <c r="E26" s="350">
        <f>SUM(E22:E25)</f>
        <v>325019.77</v>
      </c>
    </row>
    <row r="28" spans="1:5" x14ac:dyDescent="0.25">
      <c r="A28" s="371" t="s">
        <v>117</v>
      </c>
      <c r="B28" s="371" t="s">
        <v>118</v>
      </c>
      <c r="C28" s="343">
        <v>0</v>
      </c>
      <c r="D28" s="343">
        <v>0</v>
      </c>
      <c r="E28" s="343">
        <v>0</v>
      </c>
    </row>
    <row r="29" spans="1:5" x14ac:dyDescent="0.25">
      <c r="A29" s="371" t="s">
        <v>119</v>
      </c>
      <c r="B29" s="371" t="s">
        <v>120</v>
      </c>
      <c r="C29" s="343">
        <v>0</v>
      </c>
      <c r="D29" s="343">
        <v>0</v>
      </c>
      <c r="E29" s="343">
        <v>0</v>
      </c>
    </row>
    <row r="30" spans="1:5" x14ac:dyDescent="0.25">
      <c r="A30" s="371" t="s">
        <v>121</v>
      </c>
      <c r="B30" s="371" t="s">
        <v>122</v>
      </c>
      <c r="C30" s="343">
        <v>0</v>
      </c>
      <c r="D30" s="343">
        <v>0</v>
      </c>
      <c r="E30" s="343">
        <v>0</v>
      </c>
    </row>
    <row r="31" spans="1:5" x14ac:dyDescent="0.25">
      <c r="A31" s="371" t="s">
        <v>123</v>
      </c>
      <c r="B31" s="371" t="s">
        <v>124</v>
      </c>
      <c r="C31" s="343">
        <v>0</v>
      </c>
      <c r="D31" s="343">
        <v>0</v>
      </c>
      <c r="E31" s="343">
        <v>0</v>
      </c>
    </row>
    <row r="32" spans="1:5" x14ac:dyDescent="0.25">
      <c r="A32" s="372" t="s">
        <v>125</v>
      </c>
      <c r="B32" s="373"/>
      <c r="C32" s="350">
        <f>SUM(C28:C31)</f>
        <v>0</v>
      </c>
      <c r="D32" s="350">
        <f>SUM(D28:D31)</f>
        <v>0</v>
      </c>
      <c r="E32" s="350">
        <f>SUM(E28:E31)</f>
        <v>0</v>
      </c>
    </row>
    <row r="34" spans="1:5" x14ac:dyDescent="0.25">
      <c r="A34" s="371" t="s">
        <v>126</v>
      </c>
      <c r="B34" s="371" t="s">
        <v>127</v>
      </c>
      <c r="C34" s="343">
        <v>0</v>
      </c>
      <c r="D34" s="343">
        <v>-9793166.8100000005</v>
      </c>
      <c r="E34" s="343">
        <v>-9793166.8100000005</v>
      </c>
    </row>
    <row r="35" spans="1:5" x14ac:dyDescent="0.25">
      <c r="A35" s="371" t="s">
        <v>128</v>
      </c>
      <c r="B35" s="371" t="s">
        <v>129</v>
      </c>
      <c r="C35" s="343">
        <v>0</v>
      </c>
      <c r="D35" s="343">
        <v>-379162.51</v>
      </c>
      <c r="E35" s="343">
        <v>-379162.51</v>
      </c>
    </row>
    <row r="36" spans="1:5" x14ac:dyDescent="0.25">
      <c r="A36" s="371" t="s">
        <v>130</v>
      </c>
      <c r="B36" s="371" t="s">
        <v>131</v>
      </c>
      <c r="C36" s="343">
        <v>0</v>
      </c>
      <c r="D36" s="343">
        <v>-108258.18</v>
      </c>
      <c r="E36" s="343">
        <v>-108258.18</v>
      </c>
    </row>
    <row r="37" spans="1:5" x14ac:dyDescent="0.25">
      <c r="A37" s="371" t="s">
        <v>132</v>
      </c>
      <c r="B37" s="371" t="s">
        <v>133</v>
      </c>
      <c r="C37" s="343">
        <v>0</v>
      </c>
      <c r="D37" s="343">
        <v>-4532.8999999999996</v>
      </c>
      <c r="E37" s="343">
        <v>-4532.8999999999996</v>
      </c>
    </row>
    <row r="38" spans="1:5" x14ac:dyDescent="0.25">
      <c r="A38" s="372" t="s">
        <v>134</v>
      </c>
      <c r="B38" s="373"/>
      <c r="C38" s="350">
        <f>SUM(C34:C37)</f>
        <v>0</v>
      </c>
      <c r="D38" s="350">
        <f>SUM(D34:D37)</f>
        <v>-10285120.4</v>
      </c>
      <c r="E38" s="350">
        <f>SUM(E34:E37)</f>
        <v>-10285120.4</v>
      </c>
    </row>
    <row r="40" spans="1:5" x14ac:dyDescent="0.25">
      <c r="A40" s="371" t="s">
        <v>135</v>
      </c>
      <c r="B40" s="371" t="s">
        <v>136</v>
      </c>
      <c r="C40" s="343">
        <v>0</v>
      </c>
      <c r="D40" s="343">
        <v>-293300095.19</v>
      </c>
      <c r="E40" s="343">
        <v>-293300095.19</v>
      </c>
    </row>
    <row r="41" spans="1:5" x14ac:dyDescent="0.25">
      <c r="A41" s="371" t="s">
        <v>137</v>
      </c>
      <c r="B41" s="371" t="s">
        <v>138</v>
      </c>
      <c r="C41" s="343">
        <v>0</v>
      </c>
      <c r="D41" s="343">
        <v>-376271268.63</v>
      </c>
      <c r="E41" s="343">
        <v>-376271268.63</v>
      </c>
    </row>
    <row r="42" spans="1:5" x14ac:dyDescent="0.25">
      <c r="A42" s="371" t="s">
        <v>139</v>
      </c>
      <c r="B42" s="371" t="s">
        <v>140</v>
      </c>
      <c r="C42" s="343">
        <v>0</v>
      </c>
      <c r="D42" s="343">
        <v>-115189529.31999999</v>
      </c>
      <c r="E42" s="343">
        <v>-115189529.31999999</v>
      </c>
    </row>
    <row r="43" spans="1:5" x14ac:dyDescent="0.25">
      <c r="A43" s="371" t="s">
        <v>141</v>
      </c>
      <c r="B43" s="371" t="s">
        <v>142</v>
      </c>
      <c r="C43" s="343">
        <v>0</v>
      </c>
      <c r="D43" s="343">
        <v>-7930296.4800000004</v>
      </c>
      <c r="E43" s="343">
        <v>-7930296.4800000004</v>
      </c>
    </row>
    <row r="44" spans="1:5" x14ac:dyDescent="0.25">
      <c r="A44" s="372" t="s">
        <v>143</v>
      </c>
      <c r="B44" s="373"/>
      <c r="C44" s="350">
        <f>SUM(C40:C43)</f>
        <v>0</v>
      </c>
      <c r="D44" s="350">
        <f>SUM(D40:D43)</f>
        <v>-792691189.61999989</v>
      </c>
      <c r="E44" s="350">
        <f>SUM(E40:E43)</f>
        <v>-792691189.61999989</v>
      </c>
    </row>
    <row r="46" spans="1:5" x14ac:dyDescent="0.25">
      <c r="A46" s="372" t="s">
        <v>144</v>
      </c>
      <c r="B46" s="372" t="s">
        <v>39</v>
      </c>
      <c r="C46" s="350">
        <v>0</v>
      </c>
      <c r="D46" s="350">
        <v>0</v>
      </c>
      <c r="E46" s="350">
        <v>0</v>
      </c>
    </row>
    <row r="47" spans="1:5" x14ac:dyDescent="0.25">
      <c r="A47" s="371" t="s">
        <v>145</v>
      </c>
    </row>
    <row r="50" spans="1:5" x14ac:dyDescent="0.25">
      <c r="A50" s="371" t="s">
        <v>146</v>
      </c>
      <c r="B50" s="371" t="s">
        <v>80</v>
      </c>
      <c r="C50" s="343">
        <v>0</v>
      </c>
      <c r="D50" s="343">
        <v>0</v>
      </c>
      <c r="E50" s="343">
        <v>0</v>
      </c>
    </row>
    <row r="51" spans="1:5" x14ac:dyDescent="0.25">
      <c r="A51" s="371" t="s">
        <v>147</v>
      </c>
      <c r="B51" s="371" t="s">
        <v>81</v>
      </c>
      <c r="C51" s="343">
        <v>0</v>
      </c>
      <c r="D51" s="343">
        <v>0</v>
      </c>
      <c r="E51" s="343">
        <v>0</v>
      </c>
    </row>
    <row r="52" spans="1:5" x14ac:dyDescent="0.25">
      <c r="A52" s="371" t="s">
        <v>148</v>
      </c>
      <c r="B52" s="371" t="s">
        <v>82</v>
      </c>
      <c r="C52" s="343">
        <v>0</v>
      </c>
      <c r="D52" s="343">
        <v>0</v>
      </c>
      <c r="E52" s="343">
        <v>0</v>
      </c>
    </row>
    <row r="53" spans="1:5" x14ac:dyDescent="0.25">
      <c r="A53" s="371" t="s">
        <v>149</v>
      </c>
      <c r="B53" s="371" t="s">
        <v>83</v>
      </c>
      <c r="C53" s="343">
        <v>0</v>
      </c>
      <c r="D53" s="343">
        <v>0</v>
      </c>
      <c r="E53" s="343">
        <v>0</v>
      </c>
    </row>
    <row r="54" spans="1:5" x14ac:dyDescent="0.25">
      <c r="A54" s="372" t="s">
        <v>150</v>
      </c>
      <c r="B54" s="373"/>
      <c r="C54" s="350">
        <f>SUM(C50:C53)</f>
        <v>0</v>
      </c>
      <c r="D54" s="350">
        <f>SUM(D50:D53)</f>
        <v>0</v>
      </c>
      <c r="E54" s="350">
        <f>SUM(E50:E53)</f>
        <v>0</v>
      </c>
    </row>
    <row r="56" spans="1:5" x14ac:dyDescent="0.25">
      <c r="A56" s="371" t="s">
        <v>151</v>
      </c>
      <c r="B56" s="371" t="s">
        <v>40</v>
      </c>
      <c r="C56" s="343">
        <v>0</v>
      </c>
      <c r="D56" s="343">
        <v>-4675195.9000000004</v>
      </c>
      <c r="E56" s="343">
        <v>-4675195.9000000004</v>
      </c>
    </row>
    <row r="57" spans="1:5" x14ac:dyDescent="0.25">
      <c r="A57" s="371" t="s">
        <v>152</v>
      </c>
      <c r="B57" s="371" t="s">
        <v>41</v>
      </c>
      <c r="C57" s="343">
        <v>0</v>
      </c>
      <c r="D57" s="343">
        <v>-1410699.53</v>
      </c>
      <c r="E57" s="343">
        <v>-1410699.53</v>
      </c>
    </row>
    <row r="58" spans="1:5" x14ac:dyDescent="0.25">
      <c r="A58" s="371" t="s">
        <v>153</v>
      </c>
      <c r="B58" s="371" t="s">
        <v>42</v>
      </c>
      <c r="C58" s="343">
        <v>0</v>
      </c>
      <c r="D58" s="343">
        <v>-600061.92000000004</v>
      </c>
      <c r="E58" s="343">
        <v>-600061.92000000004</v>
      </c>
    </row>
    <row r="59" spans="1:5" x14ac:dyDescent="0.25">
      <c r="A59" s="371" t="s">
        <v>154</v>
      </c>
      <c r="B59" s="371" t="s">
        <v>43</v>
      </c>
      <c r="C59" s="343">
        <v>0</v>
      </c>
      <c r="D59" s="343">
        <v>-1153567.52</v>
      </c>
      <c r="E59" s="343">
        <v>-1153567.52</v>
      </c>
    </row>
    <row r="60" spans="1:5" x14ac:dyDescent="0.25">
      <c r="A60" s="372" t="s">
        <v>155</v>
      </c>
      <c r="B60" s="373"/>
      <c r="C60" s="350">
        <f>SUM(C56:C59)</f>
        <v>0</v>
      </c>
      <c r="D60" s="350">
        <f>SUM(D56:D59)</f>
        <v>-7839524.870000001</v>
      </c>
      <c r="E60" s="350">
        <f>SUM(E56:E59)</f>
        <v>-7839524.870000001</v>
      </c>
    </row>
    <row r="62" spans="1:5" x14ac:dyDescent="0.25">
      <c r="A62" s="371" t="s">
        <v>156</v>
      </c>
      <c r="B62" s="371" t="s">
        <v>157</v>
      </c>
      <c r="C62" s="343">
        <v>0</v>
      </c>
      <c r="D62" s="343">
        <v>1336582.27</v>
      </c>
      <c r="E62" s="343">
        <v>1336582.27</v>
      </c>
    </row>
    <row r="63" spans="1:5" x14ac:dyDescent="0.25">
      <c r="A63" s="371" t="s">
        <v>158</v>
      </c>
      <c r="B63" s="371" t="s">
        <v>159</v>
      </c>
      <c r="C63" s="343">
        <v>0</v>
      </c>
      <c r="D63" s="343">
        <v>48213.38</v>
      </c>
      <c r="E63" s="343">
        <v>48213.38</v>
      </c>
    </row>
    <row r="64" spans="1:5" x14ac:dyDescent="0.25">
      <c r="A64" s="371" t="s">
        <v>160</v>
      </c>
      <c r="B64" s="371" t="s">
        <v>161</v>
      </c>
      <c r="C64" s="343">
        <v>0</v>
      </c>
      <c r="D64" s="343">
        <v>52145.919999999998</v>
      </c>
      <c r="E64" s="343">
        <v>52145.919999999998</v>
      </c>
    </row>
    <row r="65" spans="1:5" x14ac:dyDescent="0.25">
      <c r="A65" s="371" t="s">
        <v>162</v>
      </c>
      <c r="B65" s="371" t="s">
        <v>163</v>
      </c>
      <c r="C65" s="343">
        <v>0</v>
      </c>
      <c r="D65" s="343">
        <v>175027.15</v>
      </c>
      <c r="E65" s="343">
        <v>175027.15</v>
      </c>
    </row>
    <row r="66" spans="1:5" x14ac:dyDescent="0.25">
      <c r="A66" s="372" t="s">
        <v>164</v>
      </c>
      <c r="B66" s="373"/>
      <c r="C66" s="350">
        <f>SUM(C62:C65)</f>
        <v>0</v>
      </c>
      <c r="D66" s="350">
        <f>SUM(D62:D65)</f>
        <v>1611968.7199999997</v>
      </c>
      <c r="E66" s="350">
        <f>SUM(E62:E65)</f>
        <v>1611968.7199999997</v>
      </c>
    </row>
    <row r="68" spans="1:5" x14ac:dyDescent="0.25">
      <c r="A68" s="372" t="s">
        <v>31</v>
      </c>
      <c r="B68" s="373"/>
      <c r="C68" s="350">
        <f>C14+C20+C26+C32+C38+C44+C46+C54+C60+C66</f>
        <v>0</v>
      </c>
      <c r="D68" s="350">
        <f>D14+D20+D26+D32+D38+D44+D46+D54+D60+D66</f>
        <v>-143729267.43999997</v>
      </c>
      <c r="E68" s="350">
        <f>E14+E20+E26+E32+E38+E44+E46+E54+E60+E66</f>
        <v>-143729267.43999997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pane ySplit="8" topLeftCell="A38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353" customWidth="1"/>
    <col min="2" max="2" width="33.6640625" style="353" customWidth="1"/>
    <col min="3" max="5" width="22.6640625" style="362" customWidth="1"/>
    <col min="6" max="16384" width="9.109375" style="353"/>
  </cols>
  <sheetData>
    <row r="1" spans="1:5" x14ac:dyDescent="0.25">
      <c r="A1" s="351" t="s">
        <v>53</v>
      </c>
      <c r="B1" s="351"/>
      <c r="C1" s="352"/>
      <c r="D1" s="352"/>
      <c r="E1" s="352"/>
    </row>
    <row r="2" spans="1:5" x14ac:dyDescent="0.25">
      <c r="A2" s="354" t="s">
        <v>86</v>
      </c>
      <c r="B2" s="354"/>
      <c r="C2" s="355"/>
      <c r="D2" s="355"/>
      <c r="E2" s="355"/>
    </row>
    <row r="3" spans="1:5" x14ac:dyDescent="0.25">
      <c r="A3" s="351" t="s">
        <v>285</v>
      </c>
      <c r="B3" s="351"/>
      <c r="C3" s="352"/>
      <c r="D3" s="352"/>
      <c r="E3" s="352"/>
    </row>
    <row r="4" spans="1:5" x14ac:dyDescent="0.25">
      <c r="A4" s="351" t="s">
        <v>88</v>
      </c>
      <c r="B4" s="351"/>
      <c r="C4" s="352"/>
      <c r="D4" s="352"/>
      <c r="E4" s="352"/>
    </row>
    <row r="5" spans="1:5" x14ac:dyDescent="0.25">
      <c r="A5" s="356" t="s">
        <v>286</v>
      </c>
      <c r="B5" s="356"/>
      <c r="C5" s="357"/>
      <c r="D5" s="357"/>
      <c r="E5" s="357"/>
    </row>
    <row r="7" spans="1:5" x14ac:dyDescent="0.25">
      <c r="B7" s="358" t="s">
        <v>30</v>
      </c>
      <c r="C7" s="359" t="s">
        <v>90</v>
      </c>
      <c r="D7" s="359" t="s">
        <v>199</v>
      </c>
      <c r="E7" s="359" t="s">
        <v>92</v>
      </c>
    </row>
    <row r="9" spans="1:5" x14ac:dyDescent="0.25">
      <c r="A9" s="360" t="s">
        <v>93</v>
      </c>
      <c r="B9" s="360" t="s">
        <v>34</v>
      </c>
      <c r="C9" s="361">
        <v>2077833235.5599999</v>
      </c>
      <c r="D9" s="361">
        <v>174282934.97999999</v>
      </c>
      <c r="E9" s="361">
        <v>2252116170.54</v>
      </c>
    </row>
    <row r="10" spans="1:5" x14ac:dyDescent="0.25">
      <c r="A10" s="360" t="s">
        <v>94</v>
      </c>
      <c r="B10" s="360" t="s">
        <v>35</v>
      </c>
      <c r="C10" s="362">
        <v>4004811577.5799999</v>
      </c>
      <c r="D10" s="362">
        <v>358023658.88</v>
      </c>
      <c r="E10" s="362">
        <v>4362835236.46</v>
      </c>
    </row>
    <row r="11" spans="1:5" x14ac:dyDescent="0.25">
      <c r="A11" s="360" t="s">
        <v>95</v>
      </c>
      <c r="B11" s="360" t="s">
        <v>36</v>
      </c>
      <c r="C11" s="362">
        <v>1259659480.28</v>
      </c>
      <c r="D11" s="362">
        <v>108714144.41</v>
      </c>
      <c r="E11" s="362">
        <v>1368373624.6900001</v>
      </c>
    </row>
    <row r="12" spans="1:5" x14ac:dyDescent="0.25">
      <c r="A12" s="360" t="s">
        <v>96</v>
      </c>
      <c r="B12" s="360" t="s">
        <v>37</v>
      </c>
      <c r="C12" s="362">
        <v>186143887.52000001</v>
      </c>
      <c r="D12" s="362">
        <v>11167773.1</v>
      </c>
      <c r="E12" s="362">
        <v>197311660.62</v>
      </c>
    </row>
    <row r="13" spans="1:5" x14ac:dyDescent="0.25">
      <c r="A13" s="360" t="s">
        <v>97</v>
      </c>
      <c r="B13" s="360" t="s">
        <v>38</v>
      </c>
      <c r="C13" s="362">
        <v>0</v>
      </c>
      <c r="D13" s="362">
        <v>0</v>
      </c>
      <c r="E13" s="362">
        <v>0</v>
      </c>
    </row>
    <row r="14" spans="1:5" x14ac:dyDescent="0.25">
      <c r="A14" s="363" t="s">
        <v>98</v>
      </c>
      <c r="B14" s="364"/>
      <c r="C14" s="365">
        <f>SUM(C9:C13)</f>
        <v>7528448180.9399996</v>
      </c>
      <c r="D14" s="365">
        <f>SUM(D9:D13)</f>
        <v>652188511.37</v>
      </c>
      <c r="E14" s="365">
        <f>SUM(E9:E13)</f>
        <v>8180636692.3100004</v>
      </c>
    </row>
    <row r="16" spans="1:5" x14ac:dyDescent="0.25">
      <c r="A16" s="360" t="s">
        <v>99</v>
      </c>
      <c r="B16" s="360" t="s">
        <v>100</v>
      </c>
      <c r="C16" s="362">
        <v>1294934.2</v>
      </c>
      <c r="D16" s="362">
        <v>134231.51999999999</v>
      </c>
      <c r="E16" s="362">
        <v>1429165.72</v>
      </c>
    </row>
    <row r="17" spans="1:5" x14ac:dyDescent="0.25">
      <c r="A17" s="360" t="s">
        <v>101</v>
      </c>
      <c r="B17" s="360" t="s">
        <v>102</v>
      </c>
      <c r="C17" s="362">
        <v>2499765.12</v>
      </c>
      <c r="D17" s="362">
        <v>275110.65000000002</v>
      </c>
      <c r="E17" s="362">
        <v>2774875.77</v>
      </c>
    </row>
    <row r="18" spans="1:5" x14ac:dyDescent="0.25">
      <c r="A18" s="360" t="s">
        <v>103</v>
      </c>
      <c r="B18" s="360" t="s">
        <v>104</v>
      </c>
      <c r="C18" s="362">
        <v>799120.81</v>
      </c>
      <c r="D18" s="362">
        <v>84132.52</v>
      </c>
      <c r="E18" s="362">
        <v>883253.33</v>
      </c>
    </row>
    <row r="19" spans="1:5" x14ac:dyDescent="0.25">
      <c r="A19" s="360" t="s">
        <v>105</v>
      </c>
      <c r="B19" s="360" t="s">
        <v>106</v>
      </c>
      <c r="C19" s="362">
        <v>114799.11</v>
      </c>
      <c r="D19" s="362">
        <v>8187.19</v>
      </c>
      <c r="E19" s="362">
        <v>122986.3</v>
      </c>
    </row>
    <row r="20" spans="1:5" x14ac:dyDescent="0.25">
      <c r="A20" s="363" t="s">
        <v>107</v>
      </c>
      <c r="B20" s="364"/>
      <c r="C20" s="365">
        <f>SUM(C16:C19)</f>
        <v>4708619.2400000012</v>
      </c>
      <c r="D20" s="365">
        <f>SUM(D16:D19)</f>
        <v>501661.88000000006</v>
      </c>
      <c r="E20" s="365">
        <f>SUM(E16:E19)</f>
        <v>5210281.12</v>
      </c>
    </row>
    <row r="22" spans="1:5" x14ac:dyDescent="0.25">
      <c r="A22" s="360" t="s">
        <v>108</v>
      </c>
      <c r="B22" s="360" t="s">
        <v>109</v>
      </c>
      <c r="C22" s="362">
        <v>829890.64</v>
      </c>
      <c r="D22" s="362">
        <v>77004.899999999994</v>
      </c>
      <c r="E22" s="362">
        <v>906895.54</v>
      </c>
    </row>
    <row r="23" spans="1:5" x14ac:dyDescent="0.25">
      <c r="A23" s="360" t="s">
        <v>110</v>
      </c>
      <c r="B23" s="360" t="s">
        <v>111</v>
      </c>
      <c r="C23" s="362">
        <v>1610305.24</v>
      </c>
      <c r="D23" s="362">
        <v>158041.44</v>
      </c>
      <c r="E23" s="362">
        <v>1768346.68</v>
      </c>
    </row>
    <row r="24" spans="1:5" x14ac:dyDescent="0.25">
      <c r="A24" s="360" t="s">
        <v>112</v>
      </c>
      <c r="B24" s="360" t="s">
        <v>113</v>
      </c>
      <c r="C24" s="362">
        <v>501951.36</v>
      </c>
      <c r="D24" s="362">
        <v>48005.67</v>
      </c>
      <c r="E24" s="362">
        <v>549957.03</v>
      </c>
    </row>
    <row r="25" spans="1:5" x14ac:dyDescent="0.25">
      <c r="A25" s="360" t="s">
        <v>114</v>
      </c>
      <c r="B25" s="360" t="s">
        <v>115</v>
      </c>
      <c r="C25" s="362">
        <v>70396.53</v>
      </c>
      <c r="D25" s="362">
        <v>4924.3900000000003</v>
      </c>
      <c r="E25" s="362">
        <v>75320.92</v>
      </c>
    </row>
    <row r="26" spans="1:5" x14ac:dyDescent="0.25">
      <c r="A26" s="363" t="s">
        <v>116</v>
      </c>
      <c r="B26" s="364"/>
      <c r="C26" s="365">
        <f>SUM(C22:C25)</f>
        <v>3012543.7699999996</v>
      </c>
      <c r="D26" s="365">
        <f>SUM(D22:D25)</f>
        <v>287976.40000000002</v>
      </c>
      <c r="E26" s="365">
        <f>SUM(E22:E25)</f>
        <v>3300520.17</v>
      </c>
    </row>
    <row r="28" spans="1:5" x14ac:dyDescent="0.25">
      <c r="A28" s="360" t="s">
        <v>117</v>
      </c>
      <c r="B28" s="360" t="s">
        <v>118</v>
      </c>
      <c r="C28" s="362">
        <v>2734.31</v>
      </c>
      <c r="D28" s="362">
        <v>415.51</v>
      </c>
      <c r="E28" s="362">
        <v>3149.82</v>
      </c>
    </row>
    <row r="29" spans="1:5" x14ac:dyDescent="0.25">
      <c r="A29" s="360" t="s">
        <v>119</v>
      </c>
      <c r="B29" s="360" t="s">
        <v>120</v>
      </c>
      <c r="C29" s="362">
        <v>4958.08</v>
      </c>
      <c r="D29" s="362">
        <v>852.78</v>
      </c>
      <c r="E29" s="362">
        <v>5810.86</v>
      </c>
    </row>
    <row r="30" spans="1:5" x14ac:dyDescent="0.25">
      <c r="A30" s="360" t="s">
        <v>121</v>
      </c>
      <c r="B30" s="360" t="s">
        <v>122</v>
      </c>
      <c r="C30" s="362">
        <v>1517.3</v>
      </c>
      <c r="D30" s="362">
        <v>259.04000000000002</v>
      </c>
      <c r="E30" s="362">
        <v>1776.34</v>
      </c>
    </row>
    <row r="31" spans="1:5" x14ac:dyDescent="0.25">
      <c r="A31" s="360" t="s">
        <v>123</v>
      </c>
      <c r="B31" s="360" t="s">
        <v>124</v>
      </c>
      <c r="C31" s="362">
        <v>244.71</v>
      </c>
      <c r="D31" s="362">
        <v>26.57</v>
      </c>
      <c r="E31" s="362">
        <v>271.27999999999997</v>
      </c>
    </row>
    <row r="32" spans="1:5" x14ac:dyDescent="0.25">
      <c r="A32" s="363" t="s">
        <v>125</v>
      </c>
      <c r="B32" s="364"/>
      <c r="C32" s="365">
        <f>SUM(C28:C31)</f>
        <v>9454.3999999999978</v>
      </c>
      <c r="D32" s="365">
        <f>SUM(D28:D31)</f>
        <v>1553.8999999999999</v>
      </c>
      <c r="E32" s="365">
        <f>SUM(E28:E31)</f>
        <v>11008.300000000001</v>
      </c>
    </row>
    <row r="34" spans="1:5" x14ac:dyDescent="0.25">
      <c r="A34" s="360" t="s">
        <v>126</v>
      </c>
      <c r="B34" s="360" t="s">
        <v>127</v>
      </c>
      <c r="C34" s="362">
        <v>-18947227.829999998</v>
      </c>
      <c r="D34" s="362">
        <v>-3337825.26</v>
      </c>
      <c r="E34" s="362">
        <v>-22285053.09</v>
      </c>
    </row>
    <row r="35" spans="1:5" x14ac:dyDescent="0.25">
      <c r="A35" s="360" t="s">
        <v>128</v>
      </c>
      <c r="B35" s="360" t="s">
        <v>129</v>
      </c>
      <c r="C35" s="362">
        <v>-7914205.46</v>
      </c>
      <c r="D35" s="362">
        <v>-2698811.21</v>
      </c>
      <c r="E35" s="362">
        <v>-10613016.67</v>
      </c>
    </row>
    <row r="36" spans="1:5" x14ac:dyDescent="0.25">
      <c r="A36" s="360" t="s">
        <v>130</v>
      </c>
      <c r="B36" s="360" t="s">
        <v>131</v>
      </c>
      <c r="C36" s="362">
        <v>-3016860.7</v>
      </c>
      <c r="D36" s="362">
        <v>-819795.97</v>
      </c>
      <c r="E36" s="362">
        <v>-3836656.67</v>
      </c>
    </row>
    <row r="37" spans="1:5" x14ac:dyDescent="0.25">
      <c r="A37" s="360" t="s">
        <v>132</v>
      </c>
      <c r="B37" s="360" t="s">
        <v>133</v>
      </c>
      <c r="C37" s="362">
        <v>-388884.59</v>
      </c>
      <c r="D37" s="362">
        <v>-84167.4</v>
      </c>
      <c r="E37" s="362">
        <v>-473051.99</v>
      </c>
    </row>
    <row r="38" spans="1:5" x14ac:dyDescent="0.25">
      <c r="A38" s="363" t="s">
        <v>134</v>
      </c>
      <c r="B38" s="364"/>
      <c r="C38" s="365">
        <f>SUM(C34:C37)</f>
        <v>-30267178.579999998</v>
      </c>
      <c r="D38" s="365">
        <f>SUM(D34:D37)</f>
        <v>-6940599.8399999999</v>
      </c>
      <c r="E38" s="365">
        <f>SUM(E34:E37)</f>
        <v>-37207778.420000002</v>
      </c>
    </row>
    <row r="40" spans="1:5" x14ac:dyDescent="0.25">
      <c r="A40" s="360" t="s">
        <v>135</v>
      </c>
      <c r="B40" s="360" t="s">
        <v>136</v>
      </c>
      <c r="C40" s="362">
        <v>-1983041695.55</v>
      </c>
      <c r="D40" s="362">
        <v>-207222775.49000001</v>
      </c>
      <c r="E40" s="362">
        <v>-2190264471.04</v>
      </c>
    </row>
    <row r="41" spans="1:5" x14ac:dyDescent="0.25">
      <c r="A41" s="360" t="s">
        <v>137</v>
      </c>
      <c r="B41" s="360" t="s">
        <v>138</v>
      </c>
      <c r="C41" s="362">
        <v>-4102170329.7199998</v>
      </c>
      <c r="D41" s="362">
        <v>-382271986</v>
      </c>
      <c r="E41" s="362">
        <v>-4484442315.7200003</v>
      </c>
    </row>
    <row r="42" spans="1:5" x14ac:dyDescent="0.25">
      <c r="A42" s="360" t="s">
        <v>139</v>
      </c>
      <c r="B42" s="360" t="s">
        <v>140</v>
      </c>
      <c r="C42" s="362">
        <v>-1120528494.78</v>
      </c>
      <c r="D42" s="362">
        <v>-109427287</v>
      </c>
      <c r="E42" s="362">
        <v>-1229955781.78</v>
      </c>
    </row>
    <row r="43" spans="1:5" x14ac:dyDescent="0.25">
      <c r="A43" s="360" t="s">
        <v>141</v>
      </c>
      <c r="B43" s="360" t="s">
        <v>142</v>
      </c>
      <c r="C43" s="362">
        <v>-95205751.700000003</v>
      </c>
      <c r="D43" s="362">
        <v>-17845844.41</v>
      </c>
      <c r="E43" s="362">
        <v>-113051596.11</v>
      </c>
    </row>
    <row r="44" spans="1:5" x14ac:dyDescent="0.25">
      <c r="A44" s="363" t="s">
        <v>143</v>
      </c>
      <c r="B44" s="364"/>
      <c r="C44" s="365">
        <f>SUM(C40:C43)</f>
        <v>-7300946271.749999</v>
      </c>
      <c r="D44" s="365">
        <f>SUM(D40:D43)</f>
        <v>-716767892.89999998</v>
      </c>
      <c r="E44" s="365">
        <f>SUM(E40:E43)</f>
        <v>-8017714164.6499996</v>
      </c>
    </row>
    <row r="46" spans="1:5" x14ac:dyDescent="0.25">
      <c r="A46" s="363" t="s">
        <v>144</v>
      </c>
      <c r="B46" s="363" t="s">
        <v>39</v>
      </c>
      <c r="C46" s="365">
        <v>0</v>
      </c>
      <c r="D46" s="365">
        <v>0</v>
      </c>
      <c r="E46" s="365">
        <v>0</v>
      </c>
    </row>
    <row r="47" spans="1:5" x14ac:dyDescent="0.25">
      <c r="A47" s="360" t="s">
        <v>145</v>
      </c>
    </row>
    <row r="50" spans="1:5" x14ac:dyDescent="0.25">
      <c r="A50" s="360" t="s">
        <v>146</v>
      </c>
      <c r="B50" s="360" t="s">
        <v>80</v>
      </c>
      <c r="C50" s="362">
        <v>0</v>
      </c>
      <c r="D50" s="362">
        <v>0</v>
      </c>
      <c r="E50" s="362">
        <v>0</v>
      </c>
    </row>
    <row r="51" spans="1:5" x14ac:dyDescent="0.25">
      <c r="A51" s="360" t="s">
        <v>147</v>
      </c>
      <c r="B51" s="360" t="s">
        <v>81</v>
      </c>
      <c r="C51" s="362">
        <v>0</v>
      </c>
      <c r="D51" s="362">
        <v>0</v>
      </c>
      <c r="E51" s="362">
        <v>0</v>
      </c>
    </row>
    <row r="52" spans="1:5" x14ac:dyDescent="0.25">
      <c r="A52" s="360" t="s">
        <v>148</v>
      </c>
      <c r="B52" s="360" t="s">
        <v>82</v>
      </c>
      <c r="C52" s="362">
        <v>0</v>
      </c>
      <c r="D52" s="362">
        <v>0</v>
      </c>
      <c r="E52" s="362">
        <v>0</v>
      </c>
    </row>
    <row r="53" spans="1:5" x14ac:dyDescent="0.25">
      <c r="A53" s="360" t="s">
        <v>149</v>
      </c>
      <c r="B53" s="360" t="s">
        <v>83</v>
      </c>
      <c r="C53" s="362">
        <v>0</v>
      </c>
      <c r="D53" s="362">
        <v>0</v>
      </c>
      <c r="E53" s="362">
        <v>0</v>
      </c>
    </row>
    <row r="54" spans="1:5" x14ac:dyDescent="0.25">
      <c r="A54" s="363" t="s">
        <v>150</v>
      </c>
      <c r="B54" s="364"/>
      <c r="C54" s="365">
        <f>SUM(C50:C53)</f>
        <v>0</v>
      </c>
      <c r="D54" s="365">
        <f>SUM(D50:D53)</f>
        <v>0</v>
      </c>
      <c r="E54" s="365">
        <f>SUM(E50:E53)</f>
        <v>0</v>
      </c>
    </row>
    <row r="56" spans="1:5" x14ac:dyDescent="0.25">
      <c r="A56" s="360" t="s">
        <v>151</v>
      </c>
      <c r="B56" s="360" t="s">
        <v>40</v>
      </c>
      <c r="C56" s="362">
        <v>-62798708.299999997</v>
      </c>
      <c r="D56" s="362">
        <v>-7565450.1200000001</v>
      </c>
      <c r="E56" s="362">
        <v>-70364158.420000002</v>
      </c>
    </row>
    <row r="57" spans="1:5" x14ac:dyDescent="0.25">
      <c r="A57" s="360" t="s">
        <v>152</v>
      </c>
      <c r="B57" s="360" t="s">
        <v>41</v>
      </c>
      <c r="C57" s="362">
        <v>-16112896.49</v>
      </c>
      <c r="D57" s="362">
        <v>-6286378.3799999999</v>
      </c>
      <c r="E57" s="362">
        <v>-22399274.870000001</v>
      </c>
    </row>
    <row r="58" spans="1:5" x14ac:dyDescent="0.25">
      <c r="A58" s="360" t="s">
        <v>153</v>
      </c>
      <c r="B58" s="360" t="s">
        <v>42</v>
      </c>
      <c r="C58" s="362">
        <v>-2436243.59</v>
      </c>
      <c r="D58" s="362">
        <v>-2146210.09</v>
      </c>
      <c r="E58" s="362">
        <v>-4582453.68</v>
      </c>
    </row>
    <row r="59" spans="1:5" x14ac:dyDescent="0.25">
      <c r="A59" s="360" t="s">
        <v>154</v>
      </c>
      <c r="B59" s="360" t="s">
        <v>43</v>
      </c>
      <c r="C59" s="362">
        <v>-9436528.6500000004</v>
      </c>
      <c r="D59" s="362">
        <v>-1322106.81</v>
      </c>
      <c r="E59" s="362">
        <v>-10758635.460000001</v>
      </c>
    </row>
    <row r="60" spans="1:5" x14ac:dyDescent="0.25">
      <c r="A60" s="363" t="s">
        <v>155</v>
      </c>
      <c r="B60" s="364"/>
      <c r="C60" s="365">
        <f>SUM(C56:C59)</f>
        <v>-90784377.030000001</v>
      </c>
      <c r="D60" s="365">
        <f>SUM(D56:D59)</f>
        <v>-17320145.399999999</v>
      </c>
      <c r="E60" s="365">
        <f>SUM(E56:E59)</f>
        <v>-108104522.43000001</v>
      </c>
    </row>
    <row r="62" spans="1:5" x14ac:dyDescent="0.25">
      <c r="A62" s="360" t="s">
        <v>156</v>
      </c>
      <c r="B62" s="360" t="s">
        <v>157</v>
      </c>
      <c r="C62" s="362">
        <v>13408317.02</v>
      </c>
      <c r="D62" s="362">
        <v>1270804.21</v>
      </c>
      <c r="E62" s="362">
        <v>14679121.23</v>
      </c>
    </row>
    <row r="63" spans="1:5" x14ac:dyDescent="0.25">
      <c r="A63" s="360" t="s">
        <v>158</v>
      </c>
      <c r="B63" s="360" t="s">
        <v>159</v>
      </c>
      <c r="C63" s="362">
        <v>492038.19</v>
      </c>
      <c r="D63" s="362">
        <v>50433.71</v>
      </c>
      <c r="E63" s="362">
        <v>542471.9</v>
      </c>
    </row>
    <row r="64" spans="1:5" x14ac:dyDescent="0.25">
      <c r="A64" s="360" t="s">
        <v>160</v>
      </c>
      <c r="B64" s="360" t="s">
        <v>161</v>
      </c>
      <c r="C64" s="362">
        <v>200234.57</v>
      </c>
      <c r="D64" s="362">
        <v>46707.34</v>
      </c>
      <c r="E64" s="362">
        <v>246941.91</v>
      </c>
    </row>
    <row r="65" spans="1:5" x14ac:dyDescent="0.25">
      <c r="A65" s="360" t="s">
        <v>162</v>
      </c>
      <c r="B65" s="360" t="s">
        <v>163</v>
      </c>
      <c r="C65" s="362">
        <v>1391451.32</v>
      </c>
      <c r="D65" s="362">
        <v>153555.87</v>
      </c>
      <c r="E65" s="362">
        <v>1545007.19</v>
      </c>
    </row>
    <row r="66" spans="1:5" x14ac:dyDescent="0.25">
      <c r="A66" s="363" t="s">
        <v>164</v>
      </c>
      <c r="B66" s="364"/>
      <c r="C66" s="365">
        <f>SUM(C62:C65)</f>
        <v>15492041.1</v>
      </c>
      <c r="D66" s="365">
        <f>SUM(D62:D65)</f>
        <v>1521501.13</v>
      </c>
      <c r="E66" s="365">
        <f>SUM(E62:E65)</f>
        <v>17013542.23</v>
      </c>
    </row>
    <row r="68" spans="1:5" x14ac:dyDescent="0.25">
      <c r="A68" s="363" t="s">
        <v>31</v>
      </c>
      <c r="B68" s="364"/>
      <c r="C68" s="365">
        <f>C14+C20+C26+C32+C38+C44+C46+C54+C60+C66</f>
        <v>129673012.09000045</v>
      </c>
      <c r="D68" s="365">
        <f>D14+D20+D26+D32+D38+D44+D46+D54+D60+D66</f>
        <v>-86527433.460000068</v>
      </c>
      <c r="E68" s="365">
        <f>E14+E20+E26+E32+E38+E44+E46+E54+E60+E66</f>
        <v>43145578.630000874</v>
      </c>
    </row>
  </sheetData>
  <pageMargins left="0.75" right="0.75" top="0.75" bottom="0.75" header="0.5" footer="0.5"/>
  <pageSetup paperSize="9" scale="6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6" workbookViewId="0">
      <selection activeCell="E68" sqref="E68"/>
    </sheetView>
  </sheetViews>
  <sheetFormatPr defaultRowHeight="13.2" x14ac:dyDescent="0.25"/>
  <cols>
    <col min="1" max="1" width="42.109375" customWidth="1"/>
    <col min="2" max="2" width="21.6640625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337" t="s">
        <v>53</v>
      </c>
      <c r="B1" s="337"/>
      <c r="C1" s="338"/>
      <c r="D1" s="338"/>
      <c r="E1" s="338"/>
    </row>
    <row r="2" spans="1:5" x14ac:dyDescent="0.25">
      <c r="A2" s="339" t="s">
        <v>86</v>
      </c>
      <c r="B2" s="339"/>
      <c r="C2" s="340"/>
      <c r="D2" s="340"/>
      <c r="E2" s="340"/>
    </row>
    <row r="3" spans="1:5" x14ac:dyDescent="0.25">
      <c r="A3" s="337" t="s">
        <v>283</v>
      </c>
      <c r="B3" s="337"/>
      <c r="C3" s="338"/>
      <c r="D3" s="338"/>
      <c r="E3" s="338"/>
    </row>
    <row r="4" spans="1:5" x14ac:dyDescent="0.25">
      <c r="A4" s="337" t="s">
        <v>88</v>
      </c>
      <c r="B4" s="337"/>
      <c r="C4" s="338"/>
      <c r="D4" s="338"/>
      <c r="E4" s="338"/>
    </row>
    <row r="5" spans="1:5" x14ac:dyDescent="0.25">
      <c r="A5" s="341" t="s">
        <v>284</v>
      </c>
      <c r="B5" s="341"/>
      <c r="C5" s="342"/>
      <c r="D5" s="342"/>
      <c r="E5" s="342"/>
    </row>
    <row r="6" spans="1:5" x14ac:dyDescent="0.25">
      <c r="C6" s="343"/>
      <c r="D6" s="343"/>
      <c r="E6" s="343"/>
    </row>
    <row r="7" spans="1:5" x14ac:dyDescent="0.25">
      <c r="B7" s="344" t="s">
        <v>30</v>
      </c>
      <c r="C7" s="345" t="s">
        <v>90</v>
      </c>
      <c r="D7" s="345" t="s">
        <v>196</v>
      </c>
      <c r="E7" s="345" t="s">
        <v>92</v>
      </c>
    </row>
    <row r="8" spans="1:5" x14ac:dyDescent="0.25">
      <c r="C8" s="343"/>
      <c r="D8" s="343"/>
      <c r="E8" s="343"/>
    </row>
    <row r="9" spans="1:5" x14ac:dyDescent="0.25">
      <c r="A9" s="346" t="s">
        <v>93</v>
      </c>
      <c r="B9" s="346" t="s">
        <v>34</v>
      </c>
      <c r="C9" s="347">
        <v>1903597480.72</v>
      </c>
      <c r="D9" s="347">
        <v>174235754.84</v>
      </c>
      <c r="E9" s="347">
        <v>2077833235.5599999</v>
      </c>
    </row>
    <row r="10" spans="1:5" x14ac:dyDescent="0.25">
      <c r="A10" s="346" t="s">
        <v>94</v>
      </c>
      <c r="B10" s="346" t="s">
        <v>35</v>
      </c>
      <c r="C10" s="343">
        <v>3647092670.6799998</v>
      </c>
      <c r="D10" s="343">
        <v>357718906.89999998</v>
      </c>
      <c r="E10" s="343">
        <v>4004811577.5799999</v>
      </c>
    </row>
    <row r="11" spans="1:5" x14ac:dyDescent="0.25">
      <c r="A11" s="346" t="s">
        <v>95</v>
      </c>
      <c r="B11" s="346" t="s">
        <v>36</v>
      </c>
      <c r="C11" s="343">
        <v>1151088376.05</v>
      </c>
      <c r="D11" s="343">
        <v>108571104.23</v>
      </c>
      <c r="E11" s="343">
        <v>1259659480.28</v>
      </c>
    </row>
    <row r="12" spans="1:5" x14ac:dyDescent="0.25">
      <c r="A12" s="346" t="s">
        <v>96</v>
      </c>
      <c r="B12" s="346" t="s">
        <v>37</v>
      </c>
      <c r="C12" s="343">
        <v>175006441.38999999</v>
      </c>
      <c r="D12" s="343">
        <v>11137446.130000001</v>
      </c>
      <c r="E12" s="343">
        <v>186143887.52000001</v>
      </c>
    </row>
    <row r="13" spans="1:5" x14ac:dyDescent="0.25">
      <c r="A13" s="346" t="s">
        <v>97</v>
      </c>
      <c r="B13" s="346" t="s">
        <v>38</v>
      </c>
      <c r="C13" s="343">
        <v>0</v>
      </c>
      <c r="D13" s="343">
        <v>0</v>
      </c>
      <c r="E13" s="343">
        <v>0</v>
      </c>
    </row>
    <row r="14" spans="1:5" x14ac:dyDescent="0.25">
      <c r="A14" s="348" t="s">
        <v>98</v>
      </c>
      <c r="B14" s="349"/>
      <c r="C14" s="350">
        <f>SUM(C9:C13)</f>
        <v>6876784968.8400002</v>
      </c>
      <c r="D14" s="350">
        <f>SUM(D9:D13)</f>
        <v>651663212.10000002</v>
      </c>
      <c r="E14" s="350">
        <f>SUM(E9:E13)</f>
        <v>7528448180.9399996</v>
      </c>
    </row>
    <row r="15" spans="1:5" x14ac:dyDescent="0.25">
      <c r="C15" s="343"/>
      <c r="D15" s="343"/>
      <c r="E15" s="343"/>
    </row>
    <row r="16" spans="1:5" x14ac:dyDescent="0.25">
      <c r="A16" s="346" t="s">
        <v>99</v>
      </c>
      <c r="B16" s="346" t="s">
        <v>100</v>
      </c>
      <c r="C16" s="343">
        <v>1182067.3700000001</v>
      </c>
      <c r="D16" s="343">
        <v>112866.83</v>
      </c>
      <c r="E16" s="343">
        <v>1294934.2</v>
      </c>
    </row>
    <row r="17" spans="1:5" x14ac:dyDescent="0.25">
      <c r="A17" s="346" t="s">
        <v>101</v>
      </c>
      <c r="B17" s="346" t="s">
        <v>102</v>
      </c>
      <c r="C17" s="343">
        <v>2268240.13</v>
      </c>
      <c r="D17" s="343">
        <v>231524.99</v>
      </c>
      <c r="E17" s="343">
        <v>2499765.12</v>
      </c>
    </row>
    <row r="18" spans="1:5" x14ac:dyDescent="0.25">
      <c r="A18" s="346" t="s">
        <v>103</v>
      </c>
      <c r="B18" s="346" t="s">
        <v>104</v>
      </c>
      <c r="C18" s="343">
        <v>728560.97</v>
      </c>
      <c r="D18" s="343">
        <v>70559.839999999997</v>
      </c>
      <c r="E18" s="343">
        <v>799120.81</v>
      </c>
    </row>
    <row r="19" spans="1:5" x14ac:dyDescent="0.25">
      <c r="A19" s="346" t="s">
        <v>105</v>
      </c>
      <c r="B19" s="346" t="s">
        <v>106</v>
      </c>
      <c r="C19" s="343">
        <v>107784.01</v>
      </c>
      <c r="D19" s="343">
        <v>7015.1</v>
      </c>
      <c r="E19" s="343">
        <v>114799.11</v>
      </c>
    </row>
    <row r="20" spans="1:5" x14ac:dyDescent="0.25">
      <c r="A20" s="348" t="s">
        <v>107</v>
      </c>
      <c r="B20" s="349"/>
      <c r="C20" s="350">
        <f>SUM(C16:C19)</f>
        <v>4286652.4799999995</v>
      </c>
      <c r="D20" s="350">
        <f>SUM(D16:D19)</f>
        <v>421966.76</v>
      </c>
      <c r="E20" s="350">
        <f>SUM(E16:E19)</f>
        <v>4708619.2400000012</v>
      </c>
    </row>
    <row r="21" spans="1:5" x14ac:dyDescent="0.25">
      <c r="C21" s="343"/>
      <c r="D21" s="343"/>
      <c r="E21" s="343"/>
    </row>
    <row r="22" spans="1:5" x14ac:dyDescent="0.25">
      <c r="A22" s="346" t="s">
        <v>108</v>
      </c>
      <c r="B22" s="346" t="s">
        <v>109</v>
      </c>
      <c r="C22" s="343">
        <v>770443.61</v>
      </c>
      <c r="D22" s="343">
        <v>59447.03</v>
      </c>
      <c r="E22" s="343">
        <v>829890.64</v>
      </c>
    </row>
    <row r="23" spans="1:5" x14ac:dyDescent="0.25">
      <c r="A23" s="346" t="s">
        <v>110</v>
      </c>
      <c r="B23" s="346" t="s">
        <v>111</v>
      </c>
      <c r="C23" s="343">
        <v>1488298.79</v>
      </c>
      <c r="D23" s="343">
        <v>122006.45</v>
      </c>
      <c r="E23" s="343">
        <v>1610305.24</v>
      </c>
    </row>
    <row r="24" spans="1:5" x14ac:dyDescent="0.25">
      <c r="A24" s="346" t="s">
        <v>112</v>
      </c>
      <c r="B24" s="346" t="s">
        <v>113</v>
      </c>
      <c r="C24" s="343">
        <v>464891.42</v>
      </c>
      <c r="D24" s="343">
        <v>37059.94</v>
      </c>
      <c r="E24" s="343">
        <v>501951.36</v>
      </c>
    </row>
    <row r="25" spans="1:5" x14ac:dyDescent="0.25">
      <c r="A25" s="346" t="s">
        <v>114</v>
      </c>
      <c r="B25" s="346" t="s">
        <v>115</v>
      </c>
      <c r="C25" s="343">
        <v>66595.03</v>
      </c>
      <c r="D25" s="343">
        <v>3801.5</v>
      </c>
      <c r="E25" s="343">
        <v>70396.53</v>
      </c>
    </row>
    <row r="26" spans="1:5" x14ac:dyDescent="0.25">
      <c r="A26" s="348" t="s">
        <v>116</v>
      </c>
      <c r="B26" s="349"/>
      <c r="C26" s="350">
        <f>SUM(C22:C25)</f>
        <v>2790228.8499999996</v>
      </c>
      <c r="D26" s="350">
        <f>SUM(D22:D25)</f>
        <v>222314.91999999998</v>
      </c>
      <c r="E26" s="350">
        <f>SUM(E22:E25)</f>
        <v>3012543.7699999996</v>
      </c>
    </row>
    <row r="27" spans="1:5" x14ac:dyDescent="0.25">
      <c r="C27" s="343"/>
      <c r="D27" s="343"/>
      <c r="E27" s="343"/>
    </row>
    <row r="28" spans="1:5" x14ac:dyDescent="0.25">
      <c r="A28" s="346" t="s">
        <v>117</v>
      </c>
      <c r="B28" s="346" t="s">
        <v>118</v>
      </c>
      <c r="C28" s="343">
        <v>2466.91</v>
      </c>
      <c r="D28" s="343">
        <v>267.39999999999998</v>
      </c>
      <c r="E28" s="343">
        <v>2734.31</v>
      </c>
    </row>
    <row r="29" spans="1:5" x14ac:dyDescent="0.25">
      <c r="A29" s="346" t="s">
        <v>119</v>
      </c>
      <c r="B29" s="346" t="s">
        <v>120</v>
      </c>
      <c r="C29" s="343">
        <v>4409.28</v>
      </c>
      <c r="D29" s="343">
        <v>548.79999999999995</v>
      </c>
      <c r="E29" s="343">
        <v>4958.08</v>
      </c>
    </row>
    <row r="30" spans="1:5" x14ac:dyDescent="0.25">
      <c r="A30" s="346" t="s">
        <v>121</v>
      </c>
      <c r="B30" s="346" t="s">
        <v>122</v>
      </c>
      <c r="C30" s="343">
        <v>1350.6</v>
      </c>
      <c r="D30" s="343">
        <v>166.7</v>
      </c>
      <c r="E30" s="343">
        <v>1517.3</v>
      </c>
    </row>
    <row r="31" spans="1:5" x14ac:dyDescent="0.25">
      <c r="A31" s="346" t="s">
        <v>123</v>
      </c>
      <c r="B31" s="346" t="s">
        <v>124</v>
      </c>
      <c r="C31" s="343">
        <v>227.61</v>
      </c>
      <c r="D31" s="343">
        <v>17.100000000000001</v>
      </c>
      <c r="E31" s="343">
        <v>244.71</v>
      </c>
    </row>
    <row r="32" spans="1:5" x14ac:dyDescent="0.25">
      <c r="A32" s="348" t="s">
        <v>125</v>
      </c>
      <c r="B32" s="349"/>
      <c r="C32" s="350">
        <f>SUM(C28:C31)</f>
        <v>8454.4</v>
      </c>
      <c r="D32" s="350">
        <f>SUM(D28:D31)</f>
        <v>999.99999999999989</v>
      </c>
      <c r="E32" s="350">
        <f>SUM(E28:E31)</f>
        <v>9454.3999999999978</v>
      </c>
    </row>
    <row r="33" spans="1:5" x14ac:dyDescent="0.25">
      <c r="C33" s="343"/>
      <c r="D33" s="343"/>
      <c r="E33" s="343"/>
    </row>
    <row r="34" spans="1:5" x14ac:dyDescent="0.25">
      <c r="A34" s="346" t="s">
        <v>126</v>
      </c>
      <c r="B34" s="346" t="s">
        <v>127</v>
      </c>
      <c r="C34" s="343">
        <v>-13800918.109999999</v>
      </c>
      <c r="D34" s="343">
        <v>-5146309.72</v>
      </c>
      <c r="E34" s="343">
        <v>-18947227.829999998</v>
      </c>
    </row>
    <row r="35" spans="1:5" x14ac:dyDescent="0.25">
      <c r="A35" s="346" t="s">
        <v>128</v>
      </c>
      <c r="B35" s="346" t="s">
        <v>129</v>
      </c>
      <c r="C35" s="343">
        <v>-7863547.4000000004</v>
      </c>
      <c r="D35" s="343">
        <v>-50658.06</v>
      </c>
      <c r="E35" s="343">
        <v>-7914205.46</v>
      </c>
    </row>
    <row r="36" spans="1:5" x14ac:dyDescent="0.25">
      <c r="A36" s="346" t="s">
        <v>130</v>
      </c>
      <c r="B36" s="346" t="s">
        <v>131</v>
      </c>
      <c r="C36" s="343">
        <v>-1936839.58</v>
      </c>
      <c r="D36" s="343">
        <v>-1080021.1200000001</v>
      </c>
      <c r="E36" s="343">
        <v>-3016860.7</v>
      </c>
    </row>
    <row r="37" spans="1:5" x14ac:dyDescent="0.25">
      <c r="A37" s="346" t="s">
        <v>132</v>
      </c>
      <c r="B37" s="346" t="s">
        <v>133</v>
      </c>
      <c r="C37" s="343">
        <v>-387295.45</v>
      </c>
      <c r="D37" s="343">
        <v>-1589.14</v>
      </c>
      <c r="E37" s="343">
        <v>-388884.59</v>
      </c>
    </row>
    <row r="38" spans="1:5" x14ac:dyDescent="0.25">
      <c r="A38" s="348" t="s">
        <v>134</v>
      </c>
      <c r="B38" s="349"/>
      <c r="C38" s="350">
        <f>SUM(C34:C37)</f>
        <v>-23988600.539999995</v>
      </c>
      <c r="D38" s="350">
        <f>SUM(D34:D37)</f>
        <v>-6278578.0399999991</v>
      </c>
      <c r="E38" s="350">
        <f>SUM(E34:E37)</f>
        <v>-30267178.579999998</v>
      </c>
    </row>
    <row r="39" spans="1:5" x14ac:dyDescent="0.25">
      <c r="C39" s="343"/>
      <c r="D39" s="343"/>
      <c r="E39" s="343"/>
    </row>
    <row r="40" spans="1:5" x14ac:dyDescent="0.25">
      <c r="A40" s="346" t="s">
        <v>135</v>
      </c>
      <c r="B40" s="346" t="s">
        <v>136</v>
      </c>
      <c r="C40" s="343">
        <v>-1763663773.23</v>
      </c>
      <c r="D40" s="343">
        <v>-219377922.31999999</v>
      </c>
      <c r="E40" s="343">
        <v>-1983041695.55</v>
      </c>
    </row>
    <row r="41" spans="1:5" x14ac:dyDescent="0.25">
      <c r="A41" s="346" t="s">
        <v>137</v>
      </c>
      <c r="B41" s="346" t="s">
        <v>138</v>
      </c>
      <c r="C41" s="343">
        <v>-3726569365.9499998</v>
      </c>
      <c r="D41" s="343">
        <v>-375600963.76999998</v>
      </c>
      <c r="E41" s="343">
        <v>-4102170329.7199998</v>
      </c>
    </row>
    <row r="42" spans="1:5" x14ac:dyDescent="0.25">
      <c r="A42" s="346" t="s">
        <v>139</v>
      </c>
      <c r="B42" s="346" t="s">
        <v>140</v>
      </c>
      <c r="C42" s="343">
        <v>-1011054801.28</v>
      </c>
      <c r="D42" s="343">
        <v>-109473693.5</v>
      </c>
      <c r="E42" s="343">
        <v>-1120528494.78</v>
      </c>
    </row>
    <row r="43" spans="1:5" x14ac:dyDescent="0.25">
      <c r="A43" s="346" t="s">
        <v>141</v>
      </c>
      <c r="B43" s="346" t="s">
        <v>142</v>
      </c>
      <c r="C43" s="343">
        <v>-73399828.590000004</v>
      </c>
      <c r="D43" s="343">
        <v>-21805923.109999999</v>
      </c>
      <c r="E43" s="343">
        <v>-95205751.700000003</v>
      </c>
    </row>
    <row r="44" spans="1:5" x14ac:dyDescent="0.25">
      <c r="A44" s="348" t="s">
        <v>143</v>
      </c>
      <c r="B44" s="349"/>
      <c r="C44" s="350">
        <f>SUM(C40:C43)</f>
        <v>-6574687769.0500002</v>
      </c>
      <c r="D44" s="350">
        <f>SUM(D40:D43)</f>
        <v>-726258502.69999993</v>
      </c>
      <c r="E44" s="350">
        <f>SUM(E40:E43)</f>
        <v>-7300946271.749999</v>
      </c>
    </row>
    <row r="45" spans="1:5" x14ac:dyDescent="0.25">
      <c r="C45" s="343"/>
      <c r="D45" s="343"/>
      <c r="E45" s="343"/>
    </row>
    <row r="46" spans="1:5" x14ac:dyDescent="0.25">
      <c r="A46" s="348" t="s">
        <v>144</v>
      </c>
      <c r="B46" s="348" t="s">
        <v>39</v>
      </c>
      <c r="C46" s="350">
        <v>0</v>
      </c>
      <c r="D46" s="350">
        <v>0</v>
      </c>
      <c r="E46" s="350">
        <v>0</v>
      </c>
    </row>
    <row r="47" spans="1:5" x14ac:dyDescent="0.25">
      <c r="A47" s="346" t="s">
        <v>145</v>
      </c>
      <c r="C47" s="343"/>
      <c r="D47" s="343"/>
      <c r="E47" s="343"/>
    </row>
    <row r="48" spans="1:5" x14ac:dyDescent="0.25">
      <c r="C48" s="343"/>
      <c r="D48" s="343"/>
      <c r="E48" s="343"/>
    </row>
    <row r="49" spans="1:5" x14ac:dyDescent="0.25">
      <c r="C49" s="343"/>
      <c r="D49" s="343"/>
      <c r="E49" s="343"/>
    </row>
    <row r="50" spans="1:5" x14ac:dyDescent="0.25">
      <c r="A50" s="346" t="s">
        <v>146</v>
      </c>
      <c r="B50" s="346" t="s">
        <v>80</v>
      </c>
      <c r="C50" s="343">
        <v>0</v>
      </c>
      <c r="D50" s="343">
        <v>0</v>
      </c>
      <c r="E50" s="343">
        <v>0</v>
      </c>
    </row>
    <row r="51" spans="1:5" x14ac:dyDescent="0.25">
      <c r="A51" s="346" t="s">
        <v>147</v>
      </c>
      <c r="B51" s="346" t="s">
        <v>81</v>
      </c>
      <c r="C51" s="343">
        <v>0</v>
      </c>
      <c r="D51" s="343">
        <v>0</v>
      </c>
      <c r="E51" s="343">
        <v>0</v>
      </c>
    </row>
    <row r="52" spans="1:5" x14ac:dyDescent="0.25">
      <c r="A52" s="346" t="s">
        <v>148</v>
      </c>
      <c r="B52" s="346" t="s">
        <v>82</v>
      </c>
      <c r="C52" s="343">
        <v>0</v>
      </c>
      <c r="D52" s="343">
        <v>0</v>
      </c>
      <c r="E52" s="343">
        <v>0</v>
      </c>
    </row>
    <row r="53" spans="1:5" x14ac:dyDescent="0.25">
      <c r="A53" s="346" t="s">
        <v>149</v>
      </c>
      <c r="B53" s="346" t="s">
        <v>83</v>
      </c>
      <c r="C53" s="343">
        <v>0</v>
      </c>
      <c r="D53" s="343">
        <v>0</v>
      </c>
      <c r="E53" s="343">
        <v>0</v>
      </c>
    </row>
    <row r="54" spans="1:5" x14ac:dyDescent="0.25">
      <c r="A54" s="348" t="s">
        <v>150</v>
      </c>
      <c r="B54" s="349"/>
      <c r="C54" s="350">
        <f>SUM(C50:C53)</f>
        <v>0</v>
      </c>
      <c r="D54" s="350">
        <f>SUM(D50:D53)</f>
        <v>0</v>
      </c>
      <c r="E54" s="350">
        <f>SUM(E50:E53)</f>
        <v>0</v>
      </c>
    </row>
    <row r="55" spans="1:5" x14ac:dyDescent="0.25">
      <c r="C55" s="343"/>
      <c r="D55" s="343"/>
      <c r="E55" s="343"/>
    </row>
    <row r="56" spans="1:5" x14ac:dyDescent="0.25">
      <c r="A56" s="346" t="s">
        <v>151</v>
      </c>
      <c r="B56" s="346" t="s">
        <v>40</v>
      </c>
      <c r="C56" s="343">
        <v>-58487378.170000002</v>
      </c>
      <c r="D56" s="343">
        <v>-4311330.13</v>
      </c>
      <c r="E56" s="343">
        <v>-62798708.299999997</v>
      </c>
    </row>
    <row r="57" spans="1:5" x14ac:dyDescent="0.25">
      <c r="A57" s="346" t="s">
        <v>152</v>
      </c>
      <c r="B57" s="346" t="s">
        <v>41</v>
      </c>
      <c r="C57" s="343">
        <v>-13831280.470000001</v>
      </c>
      <c r="D57" s="343">
        <v>-2281616.02</v>
      </c>
      <c r="E57" s="343">
        <v>-16112896.49</v>
      </c>
    </row>
    <row r="58" spans="1:5" x14ac:dyDescent="0.25">
      <c r="A58" s="346" t="s">
        <v>153</v>
      </c>
      <c r="B58" s="346" t="s">
        <v>42</v>
      </c>
      <c r="C58" s="343">
        <v>-1915998.51</v>
      </c>
      <c r="D58" s="343">
        <v>-520245.08</v>
      </c>
      <c r="E58" s="343">
        <v>-2436243.59</v>
      </c>
    </row>
    <row r="59" spans="1:5" x14ac:dyDescent="0.25">
      <c r="A59" s="346" t="s">
        <v>154</v>
      </c>
      <c r="B59" s="346" t="s">
        <v>43</v>
      </c>
      <c r="C59" s="343">
        <v>-8221276.3799999999</v>
      </c>
      <c r="D59" s="343">
        <v>-1215252.27</v>
      </c>
      <c r="E59" s="343">
        <v>-9436528.6500000004</v>
      </c>
    </row>
    <row r="60" spans="1:5" x14ac:dyDescent="0.25">
      <c r="A60" s="348" t="s">
        <v>155</v>
      </c>
      <c r="B60" s="349"/>
      <c r="C60" s="350">
        <f>SUM(C56:C59)</f>
        <v>-82455933.530000001</v>
      </c>
      <c r="D60" s="350">
        <f>SUM(D56:D59)</f>
        <v>-8328443.5</v>
      </c>
      <c r="E60" s="350">
        <f>SUM(E56:E59)</f>
        <v>-90784377.030000001</v>
      </c>
    </row>
    <row r="61" spans="1:5" x14ac:dyDescent="0.25">
      <c r="C61" s="343"/>
      <c r="D61" s="343"/>
      <c r="E61" s="343"/>
    </row>
    <row r="62" spans="1:5" x14ac:dyDescent="0.25">
      <c r="A62" s="346" t="s">
        <v>156</v>
      </c>
      <c r="B62" s="346" t="s">
        <v>157</v>
      </c>
      <c r="C62" s="343">
        <v>12154433.9</v>
      </c>
      <c r="D62" s="343">
        <v>1253883.1200000001</v>
      </c>
      <c r="E62" s="343">
        <v>13408317.02</v>
      </c>
    </row>
    <row r="63" spans="1:5" x14ac:dyDescent="0.25">
      <c r="A63" s="346" t="s">
        <v>158</v>
      </c>
      <c r="B63" s="346" t="s">
        <v>159</v>
      </c>
      <c r="C63" s="343">
        <v>439408.08</v>
      </c>
      <c r="D63" s="343">
        <v>52630.11</v>
      </c>
      <c r="E63" s="343">
        <v>492038.19</v>
      </c>
    </row>
    <row r="64" spans="1:5" x14ac:dyDescent="0.25">
      <c r="A64" s="346" t="s">
        <v>160</v>
      </c>
      <c r="B64" s="346" t="s">
        <v>161</v>
      </c>
      <c r="C64" s="343">
        <v>156661.06</v>
      </c>
      <c r="D64" s="343">
        <v>43573.51</v>
      </c>
      <c r="E64" s="343">
        <v>200234.57</v>
      </c>
    </row>
    <row r="65" spans="1:5" x14ac:dyDescent="0.25">
      <c r="A65" s="346" t="s">
        <v>162</v>
      </c>
      <c r="B65" s="346" t="s">
        <v>163</v>
      </c>
      <c r="C65" s="343">
        <v>1239016.73</v>
      </c>
      <c r="D65" s="343">
        <v>152434.59</v>
      </c>
      <c r="E65" s="343">
        <v>1391451.32</v>
      </c>
    </row>
    <row r="66" spans="1:5" x14ac:dyDescent="0.25">
      <c r="A66" s="348" t="s">
        <v>164</v>
      </c>
      <c r="B66" s="349"/>
      <c r="C66" s="350">
        <f>SUM(C62:C65)</f>
        <v>13989519.770000001</v>
      </c>
      <c r="D66" s="350">
        <f>SUM(D62:D65)</f>
        <v>1502521.3300000003</v>
      </c>
      <c r="E66" s="350">
        <f>SUM(E62:E65)</f>
        <v>15492041.1</v>
      </c>
    </row>
    <row r="67" spans="1:5" x14ac:dyDescent="0.25">
      <c r="C67" s="343"/>
      <c r="D67" s="343"/>
      <c r="E67" s="343"/>
    </row>
    <row r="68" spans="1:5" x14ac:dyDescent="0.25">
      <c r="A68" s="348" t="s">
        <v>31</v>
      </c>
      <c r="B68" s="349"/>
      <c r="C68" s="350">
        <f>C14+C20+C26+C32+C38+C44+C46+C54+C60+C66</f>
        <v>216727521.21999955</v>
      </c>
      <c r="D68" s="350">
        <f>D14+D20+D26+D32+D38+D44+D46+D54+D60+D66</f>
        <v>-87054509.129999921</v>
      </c>
      <c r="E68" s="350">
        <f>E14+E20+E26+E32+E38+E44+E46+E54+E60+E66</f>
        <v>129673012.09000045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6" workbookViewId="0">
      <selection activeCell="E69" sqref="E69:E70"/>
    </sheetView>
  </sheetViews>
  <sheetFormatPr defaultRowHeight="13.2" x14ac:dyDescent="0.25"/>
  <cols>
    <col min="1" max="1" width="37.5546875" customWidth="1"/>
    <col min="2" max="2" width="3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281</v>
      </c>
      <c r="B3" s="170"/>
      <c r="C3" s="170"/>
      <c r="D3" s="170"/>
      <c r="E3" s="170"/>
    </row>
    <row r="4" spans="1:5" x14ac:dyDescent="0.25">
      <c r="A4" s="335" t="s">
        <v>88</v>
      </c>
      <c r="B4" s="336"/>
      <c r="C4" s="336"/>
      <c r="D4" s="336"/>
      <c r="E4" s="336"/>
    </row>
    <row r="5" spans="1:5" x14ac:dyDescent="0.25">
      <c r="A5" s="175" t="s">
        <v>282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193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1730920902.8</v>
      </c>
      <c r="D9" s="180">
        <v>172676577.91999999</v>
      </c>
      <c r="E9" s="180">
        <v>1903597480.72</v>
      </c>
    </row>
    <row r="10" spans="1:5" x14ac:dyDescent="0.25">
      <c r="A10" s="179" t="s">
        <v>94</v>
      </c>
      <c r="B10" s="179" t="s">
        <v>35</v>
      </c>
      <c r="C10" s="181">
        <v>3292728065.1300001</v>
      </c>
      <c r="D10" s="181">
        <v>354364605.55000001</v>
      </c>
      <c r="E10" s="181">
        <v>3647092670.6799998</v>
      </c>
    </row>
    <row r="11" spans="1:5" x14ac:dyDescent="0.25">
      <c r="A11" s="179" t="s">
        <v>95</v>
      </c>
      <c r="B11" s="179" t="s">
        <v>36</v>
      </c>
      <c r="C11" s="181">
        <v>1043483463.99</v>
      </c>
      <c r="D11" s="181">
        <v>107604912.06</v>
      </c>
      <c r="E11" s="181">
        <v>1151088376.05</v>
      </c>
    </row>
    <row r="12" spans="1:5" x14ac:dyDescent="0.25">
      <c r="A12" s="179" t="s">
        <v>96</v>
      </c>
      <c r="B12" s="179" t="s">
        <v>37</v>
      </c>
      <c r="C12" s="181">
        <v>163991331.69999999</v>
      </c>
      <c r="D12" s="181">
        <v>11015109.689999999</v>
      </c>
      <c r="E12" s="181">
        <v>175006441.38999999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6231123763.6199999</v>
      </c>
      <c r="D14" s="184">
        <f>SUM(D9:D13)</f>
        <v>645661205.22000003</v>
      </c>
      <c r="E14" s="184">
        <f>SUM(E9:E13)</f>
        <v>6876784968.8400002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1051508.74</v>
      </c>
      <c r="D16" s="181">
        <v>130558.63</v>
      </c>
      <c r="E16" s="181">
        <v>1182067.3700000001</v>
      </c>
    </row>
    <row r="17" spans="1:7" x14ac:dyDescent="0.25">
      <c r="A17" s="179" t="s">
        <v>101</v>
      </c>
      <c r="B17" s="179" t="s">
        <v>102</v>
      </c>
      <c r="C17" s="181">
        <v>2000319.48</v>
      </c>
      <c r="D17" s="181">
        <v>267920.65000000002</v>
      </c>
      <c r="E17" s="181">
        <v>2268240.13</v>
      </c>
    </row>
    <row r="18" spans="1:7" x14ac:dyDescent="0.25">
      <c r="A18" s="179" t="s">
        <v>103</v>
      </c>
      <c r="B18" s="179" t="s">
        <v>104</v>
      </c>
      <c r="C18" s="181">
        <v>646694.1</v>
      </c>
      <c r="D18" s="181">
        <v>81866.87</v>
      </c>
      <c r="E18" s="181">
        <v>728560.97</v>
      </c>
      <c r="G18" t="s">
        <v>193</v>
      </c>
    </row>
    <row r="19" spans="1:7" x14ac:dyDescent="0.25">
      <c r="A19" s="179" t="s">
        <v>105</v>
      </c>
      <c r="B19" s="179" t="s">
        <v>106</v>
      </c>
      <c r="C19" s="181">
        <v>99572.95</v>
      </c>
      <c r="D19" s="181">
        <v>8211.06</v>
      </c>
      <c r="E19" s="181">
        <v>107784.01</v>
      </c>
    </row>
    <row r="20" spans="1:7" x14ac:dyDescent="0.25">
      <c r="A20" s="182" t="s">
        <v>107</v>
      </c>
      <c r="B20" s="183"/>
      <c r="C20" s="184">
        <f>SUM(C16:C19)</f>
        <v>3798095.27</v>
      </c>
      <c r="D20" s="184">
        <f>SUM(D16:D19)</f>
        <v>488557.21</v>
      </c>
      <c r="E20" s="184">
        <f>SUM(E16:E19)</f>
        <v>4286652.4799999995</v>
      </c>
    </row>
    <row r="21" spans="1:7" x14ac:dyDescent="0.25">
      <c r="A21" s="185"/>
      <c r="B21" s="185"/>
      <c r="C21" s="181"/>
      <c r="D21" s="181"/>
      <c r="E21" s="181"/>
    </row>
    <row r="22" spans="1:7" x14ac:dyDescent="0.25">
      <c r="A22" s="179" t="s">
        <v>108</v>
      </c>
      <c r="B22" s="179" t="s">
        <v>109</v>
      </c>
      <c r="C22" s="181">
        <v>565821.11</v>
      </c>
      <c r="D22" s="181">
        <v>204622.5</v>
      </c>
      <c r="E22" s="181">
        <v>770443.61</v>
      </c>
    </row>
    <row r="23" spans="1:7" x14ac:dyDescent="0.25">
      <c r="A23" s="179" t="s">
        <v>110</v>
      </c>
      <c r="B23" s="179" t="s">
        <v>111</v>
      </c>
      <c r="C23" s="181">
        <v>1068340.6399999999</v>
      </c>
      <c r="D23" s="181">
        <v>419958.15</v>
      </c>
      <c r="E23" s="181">
        <v>1488298.79</v>
      </c>
    </row>
    <row r="24" spans="1:7" x14ac:dyDescent="0.25">
      <c r="A24" s="179" t="s">
        <v>112</v>
      </c>
      <c r="B24" s="179" t="s">
        <v>113</v>
      </c>
      <c r="C24" s="181">
        <v>337327.6</v>
      </c>
      <c r="D24" s="181">
        <v>127563.82</v>
      </c>
      <c r="E24" s="181">
        <v>464891.42</v>
      </c>
    </row>
    <row r="25" spans="1:7" x14ac:dyDescent="0.25">
      <c r="A25" s="179" t="s">
        <v>114</v>
      </c>
      <c r="B25" s="179" t="s">
        <v>115</v>
      </c>
      <c r="C25" s="181">
        <v>53509.55</v>
      </c>
      <c r="D25" s="181">
        <v>13085.48</v>
      </c>
      <c r="E25" s="181">
        <v>66595.03</v>
      </c>
    </row>
    <row r="26" spans="1:7" x14ac:dyDescent="0.25">
      <c r="A26" s="182" t="s">
        <v>116</v>
      </c>
      <c r="B26" s="183"/>
      <c r="C26" s="184">
        <f>SUM(C22:C25)</f>
        <v>2024998.9000000001</v>
      </c>
      <c r="D26" s="184">
        <f>SUM(D22:D25)</f>
        <v>765229.95</v>
      </c>
      <c r="E26" s="184">
        <f>SUM(E22:E25)</f>
        <v>2790228.8499999996</v>
      </c>
    </row>
    <row r="27" spans="1:7" x14ac:dyDescent="0.25">
      <c r="A27" s="185"/>
      <c r="B27" s="185"/>
      <c r="C27" s="181"/>
      <c r="D27" s="181"/>
      <c r="E27" s="181"/>
    </row>
    <row r="28" spans="1:7" x14ac:dyDescent="0.25">
      <c r="A28" s="179" t="s">
        <v>117</v>
      </c>
      <c r="B28" s="179" t="s">
        <v>118</v>
      </c>
      <c r="C28" s="181">
        <v>2466.91</v>
      </c>
      <c r="D28" s="181">
        <v>0</v>
      </c>
      <c r="E28" s="181">
        <v>2466.91</v>
      </c>
    </row>
    <row r="29" spans="1:7" x14ac:dyDescent="0.25">
      <c r="A29" s="179" t="s">
        <v>119</v>
      </c>
      <c r="B29" s="179" t="s">
        <v>120</v>
      </c>
      <c r="C29" s="181">
        <v>4409.28</v>
      </c>
      <c r="D29" s="181">
        <v>0</v>
      </c>
      <c r="E29" s="181">
        <v>4409.28</v>
      </c>
    </row>
    <row r="30" spans="1:7" x14ac:dyDescent="0.25">
      <c r="A30" s="179" t="s">
        <v>121</v>
      </c>
      <c r="B30" s="179" t="s">
        <v>122</v>
      </c>
      <c r="C30" s="181">
        <v>1350.6</v>
      </c>
      <c r="D30" s="181">
        <v>0</v>
      </c>
      <c r="E30" s="181">
        <v>1350.6</v>
      </c>
    </row>
    <row r="31" spans="1:7" x14ac:dyDescent="0.25">
      <c r="A31" s="179" t="s">
        <v>123</v>
      </c>
      <c r="B31" s="179" t="s">
        <v>124</v>
      </c>
      <c r="C31" s="181">
        <v>227.61</v>
      </c>
      <c r="D31" s="181">
        <v>0</v>
      </c>
      <c r="E31" s="181">
        <v>227.61</v>
      </c>
    </row>
    <row r="32" spans="1:7" x14ac:dyDescent="0.25">
      <c r="A32" s="182" t="s">
        <v>125</v>
      </c>
      <c r="B32" s="183"/>
      <c r="C32" s="184">
        <f>SUM(C28:C31)</f>
        <v>8454.4</v>
      </c>
      <c r="D32" s="184">
        <f>SUM(D28:D31)</f>
        <v>0</v>
      </c>
      <c r="E32" s="184">
        <f>SUM(E28:E31)</f>
        <v>8454.4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-12467073.66</v>
      </c>
      <c r="D34" s="181">
        <v>-1333844.45</v>
      </c>
      <c r="E34" s="181">
        <v>-13800918.109999999</v>
      </c>
    </row>
    <row r="35" spans="1:5" x14ac:dyDescent="0.25">
      <c r="A35" s="179" t="s">
        <v>128</v>
      </c>
      <c r="B35" s="179" t="s">
        <v>129</v>
      </c>
      <c r="C35" s="181">
        <v>-7958393.5700000003</v>
      </c>
      <c r="D35" s="181">
        <v>94846.17</v>
      </c>
      <c r="E35" s="181">
        <v>-7863547.4000000004</v>
      </c>
    </row>
    <row r="36" spans="1:5" x14ac:dyDescent="0.25">
      <c r="A36" s="179" t="s">
        <v>130</v>
      </c>
      <c r="B36" s="179" t="s">
        <v>131</v>
      </c>
      <c r="C36" s="181">
        <v>-1977537.57</v>
      </c>
      <c r="D36" s="181">
        <v>40697.99</v>
      </c>
      <c r="E36" s="181">
        <v>-1936839.58</v>
      </c>
    </row>
    <row r="37" spans="1:5" x14ac:dyDescent="0.25">
      <c r="A37" s="179" t="s">
        <v>132</v>
      </c>
      <c r="B37" s="179" t="s">
        <v>133</v>
      </c>
      <c r="C37" s="181">
        <v>-392497.17</v>
      </c>
      <c r="D37" s="181">
        <v>5201.72</v>
      </c>
      <c r="E37" s="181">
        <v>-387295.45</v>
      </c>
    </row>
    <row r="38" spans="1:5" x14ac:dyDescent="0.25">
      <c r="A38" s="182" t="s">
        <v>134</v>
      </c>
      <c r="B38" s="183"/>
      <c r="C38" s="184">
        <f>SUM(C34:C37)</f>
        <v>-22795501.970000003</v>
      </c>
      <c r="D38" s="184">
        <f>SUM(D34:D37)</f>
        <v>-1193098.57</v>
      </c>
      <c r="E38" s="184">
        <f>SUM(E34:E37)</f>
        <v>-23988600.539999995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-1560883013.5999999</v>
      </c>
      <c r="D40" s="181">
        <v>-202780759.63</v>
      </c>
      <c r="E40" s="181">
        <v>-1763663773.23</v>
      </c>
    </row>
    <row r="41" spans="1:5" x14ac:dyDescent="0.25">
      <c r="A41" s="179" t="s">
        <v>137</v>
      </c>
      <c r="B41" s="179" t="s">
        <v>138</v>
      </c>
      <c r="C41" s="181">
        <v>-3337440814.9499998</v>
      </c>
      <c r="D41" s="181">
        <v>-389128551</v>
      </c>
      <c r="E41" s="181">
        <v>-3726569365.9499998</v>
      </c>
    </row>
    <row r="42" spans="1:5" x14ac:dyDescent="0.25">
      <c r="A42" s="179" t="s">
        <v>139</v>
      </c>
      <c r="B42" s="179" t="s">
        <v>140</v>
      </c>
      <c r="C42" s="181">
        <v>-904767552.62</v>
      </c>
      <c r="D42" s="181">
        <v>-106287248.66</v>
      </c>
      <c r="E42" s="181">
        <v>-1011054801.28</v>
      </c>
    </row>
    <row r="43" spans="1:5" x14ac:dyDescent="0.25">
      <c r="A43" s="179" t="s">
        <v>141</v>
      </c>
      <c r="B43" s="179" t="s">
        <v>142</v>
      </c>
      <c r="C43" s="181">
        <v>-66807551.979999997</v>
      </c>
      <c r="D43" s="181">
        <v>-6592276.6100000003</v>
      </c>
      <c r="E43" s="181">
        <v>-73399828.590000004</v>
      </c>
    </row>
    <row r="44" spans="1:5" x14ac:dyDescent="0.25">
      <c r="A44" s="182" t="s">
        <v>143</v>
      </c>
      <c r="B44" s="183"/>
      <c r="C44" s="184">
        <f>SUM(C40:C43)</f>
        <v>-5869898933.1499987</v>
      </c>
      <c r="D44" s="184">
        <f>SUM(D40:D43)</f>
        <v>-704788835.89999998</v>
      </c>
      <c r="E44" s="184">
        <f>SUM(E40:E43)</f>
        <v>-6574687769.0500002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-53428682.170000002</v>
      </c>
      <c r="D56" s="181">
        <v>-5058696</v>
      </c>
      <c r="E56" s="181">
        <v>-58487378.170000002</v>
      </c>
    </row>
    <row r="57" spans="1:5" x14ac:dyDescent="0.25">
      <c r="A57" s="179" t="s">
        <v>152</v>
      </c>
      <c r="B57" s="179" t="s">
        <v>41</v>
      </c>
      <c r="C57" s="181">
        <v>-11737988.470000001</v>
      </c>
      <c r="D57" s="181">
        <v>-2093292</v>
      </c>
      <c r="E57" s="181">
        <v>-13831280.470000001</v>
      </c>
    </row>
    <row r="58" spans="1:5" x14ac:dyDescent="0.25">
      <c r="A58" s="179" t="s">
        <v>153</v>
      </c>
      <c r="B58" s="179" t="s">
        <v>42</v>
      </c>
      <c r="C58" s="181">
        <v>-1593279.51</v>
      </c>
      <c r="D58" s="181">
        <v>-322719</v>
      </c>
      <c r="E58" s="181">
        <v>-1915998.51</v>
      </c>
    </row>
    <row r="59" spans="1:5" x14ac:dyDescent="0.25">
      <c r="A59" s="179" t="s">
        <v>154</v>
      </c>
      <c r="B59" s="179" t="s">
        <v>43</v>
      </c>
      <c r="C59" s="181">
        <v>-7399695.3799999999</v>
      </c>
      <c r="D59" s="181">
        <v>-821581</v>
      </c>
      <c r="E59" s="181">
        <v>-8221276.3799999999</v>
      </c>
    </row>
    <row r="60" spans="1:5" x14ac:dyDescent="0.25">
      <c r="A60" s="182" t="s">
        <v>155</v>
      </c>
      <c r="B60" s="183"/>
      <c r="C60" s="184">
        <f>SUM(C56:C59)</f>
        <v>-74159645.530000001</v>
      </c>
      <c r="D60" s="184">
        <f>SUM(D56:D59)</f>
        <v>-8296288</v>
      </c>
      <c r="E60" s="184">
        <f>SUM(E56:E59)</f>
        <v>-82455933.530000001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10910651.539999999</v>
      </c>
      <c r="D62" s="181">
        <v>1243782.3600000001</v>
      </c>
      <c r="E62" s="181">
        <v>12154433.9</v>
      </c>
    </row>
    <row r="63" spans="1:5" x14ac:dyDescent="0.25">
      <c r="A63" s="179" t="s">
        <v>158</v>
      </c>
      <c r="B63" s="179" t="s">
        <v>159</v>
      </c>
      <c r="C63" s="181">
        <v>384071.88</v>
      </c>
      <c r="D63" s="181">
        <v>55336.2</v>
      </c>
      <c r="E63" s="181">
        <v>439408.08</v>
      </c>
    </row>
    <row r="64" spans="1:5" x14ac:dyDescent="0.25">
      <c r="A64" s="179" t="s">
        <v>160</v>
      </c>
      <c r="B64" s="179" t="s">
        <v>161</v>
      </c>
      <c r="C64" s="181">
        <v>117520.93</v>
      </c>
      <c r="D64" s="181">
        <v>39140.129999999997</v>
      </c>
      <c r="E64" s="181">
        <v>156661.06</v>
      </c>
    </row>
    <row r="65" spans="1:5" x14ac:dyDescent="0.25">
      <c r="A65" s="179" t="s">
        <v>162</v>
      </c>
      <c r="B65" s="179" t="s">
        <v>163</v>
      </c>
      <c r="C65" s="181">
        <v>1086490.23</v>
      </c>
      <c r="D65" s="181">
        <v>152526.5</v>
      </c>
      <c r="E65" s="181">
        <v>1239016.73</v>
      </c>
    </row>
    <row r="66" spans="1:5" x14ac:dyDescent="0.25">
      <c r="A66" s="182" t="s">
        <v>164</v>
      </c>
      <c r="B66" s="183"/>
      <c r="C66" s="184">
        <f>SUM(C62:C65)</f>
        <v>12498734.58</v>
      </c>
      <c r="D66" s="184">
        <f>SUM(D62:D65)</f>
        <v>1490785.19</v>
      </c>
      <c r="E66" s="184">
        <f>SUM(E62:E65)</f>
        <v>13989519.770000001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282599966.12000066</v>
      </c>
      <c r="D68" s="184">
        <f>D14+D20+D26+D32+D38+D44+D46+D54+D60+D66</f>
        <v>-65872444.899999917</v>
      </c>
      <c r="E68" s="184">
        <f>E14+E20+E26+E32+E38+E44+E46+E54+E60+E66</f>
        <v>216727521.21999955</v>
      </c>
    </row>
    <row r="70" spans="1:5" x14ac:dyDescent="0.25">
      <c r="E70" s="23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sqref="A1:E68"/>
    </sheetView>
  </sheetViews>
  <sheetFormatPr defaultRowHeight="13.2" x14ac:dyDescent="0.25"/>
  <cols>
    <col min="1" max="1" width="23.33203125" customWidth="1"/>
    <col min="2" max="2" width="21.44140625" customWidth="1"/>
    <col min="3" max="3" width="18.6640625" customWidth="1"/>
    <col min="4" max="4" width="15.88671875" customWidth="1"/>
    <col min="5" max="5" width="22.109375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279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280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188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1539679099.5699999</v>
      </c>
      <c r="D9" s="180">
        <v>191241803.22999999</v>
      </c>
      <c r="E9" s="180">
        <v>1730920902.8</v>
      </c>
    </row>
    <row r="10" spans="1:5" x14ac:dyDescent="0.25">
      <c r="A10" s="179" t="s">
        <v>94</v>
      </c>
      <c r="B10" s="179" t="s">
        <v>35</v>
      </c>
      <c r="C10" s="181">
        <v>2890783337.6300001</v>
      </c>
      <c r="D10" s="181">
        <v>401944727.5</v>
      </c>
      <c r="E10" s="181">
        <v>3292728065.1300001</v>
      </c>
    </row>
    <row r="11" spans="1:5" x14ac:dyDescent="0.25">
      <c r="A11" s="179" t="s">
        <v>95</v>
      </c>
      <c r="B11" s="179" t="s">
        <v>36</v>
      </c>
      <c r="C11" s="181">
        <v>912077258.10000002</v>
      </c>
      <c r="D11" s="181">
        <v>131406205.89</v>
      </c>
      <c r="E11" s="181">
        <v>1043483463.99</v>
      </c>
    </row>
    <row r="12" spans="1:5" x14ac:dyDescent="0.25">
      <c r="A12" s="179" t="s">
        <v>96</v>
      </c>
      <c r="B12" s="179" t="s">
        <v>37</v>
      </c>
      <c r="C12" s="181">
        <v>145289751.27000001</v>
      </c>
      <c r="D12" s="181">
        <v>18701580.43</v>
      </c>
      <c r="E12" s="181">
        <v>163991331.69999999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5487829446.5700006</v>
      </c>
      <c r="D14" s="184">
        <f>SUM(D9:D13)</f>
        <v>743294317.04999995</v>
      </c>
      <c r="E14" s="184">
        <f>SUM(E9:E13)</f>
        <v>6231123763.6199999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934451.45</v>
      </c>
      <c r="D16" s="181">
        <v>117057.29</v>
      </c>
      <c r="E16" s="181">
        <v>1051508.74</v>
      </c>
    </row>
    <row r="17" spans="1:5" x14ac:dyDescent="0.25">
      <c r="A17" s="179" t="s">
        <v>101</v>
      </c>
      <c r="B17" s="179" t="s">
        <v>102</v>
      </c>
      <c r="C17" s="181">
        <v>1753666.12</v>
      </c>
      <c r="D17" s="181">
        <v>246653.36</v>
      </c>
      <c r="E17" s="181">
        <v>2000319.48</v>
      </c>
    </row>
    <row r="18" spans="1:5" x14ac:dyDescent="0.25">
      <c r="A18" s="179" t="s">
        <v>103</v>
      </c>
      <c r="B18" s="179" t="s">
        <v>104</v>
      </c>
      <c r="C18" s="181">
        <v>566050.77</v>
      </c>
      <c r="D18" s="181">
        <v>80643.33</v>
      </c>
      <c r="E18" s="181">
        <v>646694.1</v>
      </c>
    </row>
    <row r="19" spans="1:5" x14ac:dyDescent="0.25">
      <c r="A19" s="179" t="s">
        <v>105</v>
      </c>
      <c r="B19" s="179" t="s">
        <v>106</v>
      </c>
      <c r="C19" s="181">
        <v>87912.75</v>
      </c>
      <c r="D19" s="181">
        <v>11660.2</v>
      </c>
      <c r="E19" s="181">
        <v>99572.95</v>
      </c>
    </row>
    <row r="20" spans="1:5" x14ac:dyDescent="0.25">
      <c r="A20" s="182" t="s">
        <v>107</v>
      </c>
      <c r="B20" s="183"/>
      <c r="C20" s="184">
        <f>SUM(C16:C19)</f>
        <v>3342081.0900000003</v>
      </c>
      <c r="D20" s="184">
        <f>SUM(D16:D19)</f>
        <v>456014.18</v>
      </c>
      <c r="E20" s="184">
        <f>SUM(E16:E19)</f>
        <v>3798095.27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528601.78</v>
      </c>
      <c r="D22" s="181">
        <v>37219.33</v>
      </c>
      <c r="E22" s="181">
        <v>565821.11</v>
      </c>
    </row>
    <row r="23" spans="1:5" x14ac:dyDescent="0.25">
      <c r="A23" s="179" t="s">
        <v>110</v>
      </c>
      <c r="B23" s="179" t="s">
        <v>111</v>
      </c>
      <c r="C23" s="181">
        <v>990080.2</v>
      </c>
      <c r="D23" s="181">
        <v>78260.44</v>
      </c>
      <c r="E23" s="181">
        <v>1068340.6399999999</v>
      </c>
    </row>
    <row r="24" spans="1:5" x14ac:dyDescent="0.25">
      <c r="A24" s="179" t="s">
        <v>112</v>
      </c>
      <c r="B24" s="179" t="s">
        <v>113</v>
      </c>
      <c r="C24" s="181">
        <v>311689.57</v>
      </c>
      <c r="D24" s="181">
        <v>25638.03</v>
      </c>
      <c r="E24" s="181">
        <v>337327.6</v>
      </c>
    </row>
    <row r="25" spans="1:5" x14ac:dyDescent="0.25">
      <c r="A25" s="179" t="s">
        <v>114</v>
      </c>
      <c r="B25" s="179" t="s">
        <v>115</v>
      </c>
      <c r="C25" s="181">
        <v>49861.45</v>
      </c>
      <c r="D25" s="181">
        <v>3648.1</v>
      </c>
      <c r="E25" s="181">
        <v>53509.55</v>
      </c>
    </row>
    <row r="26" spans="1:5" x14ac:dyDescent="0.25">
      <c r="A26" s="182" t="s">
        <v>116</v>
      </c>
      <c r="B26" s="183"/>
      <c r="C26" s="184">
        <f>SUM(C22:C25)</f>
        <v>1880233</v>
      </c>
      <c r="D26" s="184">
        <f>SUM(D22:D25)</f>
        <v>144765.9</v>
      </c>
      <c r="E26" s="184">
        <f>SUM(E22:E25)</f>
        <v>2024998.9000000001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2184.48</v>
      </c>
      <c r="D28" s="181">
        <v>282.43</v>
      </c>
      <c r="E28" s="181">
        <v>2466.91</v>
      </c>
    </row>
    <row r="29" spans="1:5" x14ac:dyDescent="0.25">
      <c r="A29" s="179" t="s">
        <v>119</v>
      </c>
      <c r="B29" s="179" t="s">
        <v>120</v>
      </c>
      <c r="C29" s="181">
        <v>3887.99</v>
      </c>
      <c r="D29" s="181">
        <v>521.29</v>
      </c>
      <c r="E29" s="181">
        <v>4409.28</v>
      </c>
    </row>
    <row r="30" spans="1:5" x14ac:dyDescent="0.25">
      <c r="A30" s="179" t="s">
        <v>121</v>
      </c>
      <c r="B30" s="179" t="s">
        <v>122</v>
      </c>
      <c r="C30" s="181">
        <v>1181.48</v>
      </c>
      <c r="D30" s="181">
        <v>169.12</v>
      </c>
      <c r="E30" s="181">
        <v>1350.6</v>
      </c>
    </row>
    <row r="31" spans="1:5" x14ac:dyDescent="0.25">
      <c r="A31" s="179" t="s">
        <v>123</v>
      </c>
      <c r="B31" s="179" t="s">
        <v>124</v>
      </c>
      <c r="C31" s="181">
        <v>200.45</v>
      </c>
      <c r="D31" s="181">
        <v>27.16</v>
      </c>
      <c r="E31" s="181">
        <v>227.61</v>
      </c>
    </row>
    <row r="32" spans="1:5" x14ac:dyDescent="0.25">
      <c r="A32" s="182" t="s">
        <v>125</v>
      </c>
      <c r="B32" s="183"/>
      <c r="C32" s="184">
        <f>SUM(C28:C31)</f>
        <v>7454.3999999999987</v>
      </c>
      <c r="D32" s="184">
        <f>SUM(D28:D31)</f>
        <v>1000</v>
      </c>
      <c r="E32" s="184">
        <f>SUM(E28:E31)</f>
        <v>8454.4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-9354601.7100000009</v>
      </c>
      <c r="D34" s="181">
        <v>-3112471.95</v>
      </c>
      <c r="E34" s="181">
        <v>-12467073.66</v>
      </c>
    </row>
    <row r="35" spans="1:5" x14ac:dyDescent="0.25">
      <c r="A35" s="179" t="s">
        <v>128</v>
      </c>
      <c r="B35" s="179" t="s">
        <v>129</v>
      </c>
      <c r="C35" s="181">
        <v>-4186189.53</v>
      </c>
      <c r="D35" s="181">
        <v>-3772204.04</v>
      </c>
      <c r="E35" s="181">
        <v>-7958393.5700000003</v>
      </c>
    </row>
    <row r="36" spans="1:5" x14ac:dyDescent="0.25">
      <c r="A36" s="179" t="s">
        <v>130</v>
      </c>
      <c r="B36" s="179" t="s">
        <v>131</v>
      </c>
      <c r="C36" s="181">
        <v>-741767.44</v>
      </c>
      <c r="D36" s="181">
        <v>-1235770.1299999999</v>
      </c>
      <c r="E36" s="181">
        <v>-1977537.57</v>
      </c>
    </row>
    <row r="37" spans="1:5" x14ac:dyDescent="0.25">
      <c r="A37" s="179" t="s">
        <v>132</v>
      </c>
      <c r="B37" s="179" t="s">
        <v>133</v>
      </c>
      <c r="C37" s="181">
        <v>-216656.38</v>
      </c>
      <c r="D37" s="181">
        <v>-175840.79</v>
      </c>
      <c r="E37" s="181">
        <v>-392497.17</v>
      </c>
    </row>
    <row r="38" spans="1:5" x14ac:dyDescent="0.25">
      <c r="A38" s="182" t="s">
        <v>134</v>
      </c>
      <c r="B38" s="183"/>
      <c r="C38" s="184">
        <f>SUM(C34:C37)</f>
        <v>-14499215.060000001</v>
      </c>
      <c r="D38" s="184">
        <f>SUM(D34:D37)</f>
        <v>-8296286.9100000001</v>
      </c>
      <c r="E38" s="184">
        <f>SUM(E34:E37)</f>
        <v>-22795501.970000003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-1410728525.05</v>
      </c>
      <c r="D40" s="181">
        <v>-150154488.55000001</v>
      </c>
      <c r="E40" s="181">
        <v>-1560883013.5999999</v>
      </c>
    </row>
    <row r="41" spans="1:5" x14ac:dyDescent="0.25">
      <c r="A41" s="179" t="s">
        <v>137</v>
      </c>
      <c r="B41" s="179" t="s">
        <v>138</v>
      </c>
      <c r="C41" s="181">
        <v>-2975088709.0700002</v>
      </c>
      <c r="D41" s="181">
        <v>-362352105.88</v>
      </c>
      <c r="E41" s="181">
        <v>-3337440814.9499998</v>
      </c>
    </row>
    <row r="42" spans="1:5" x14ac:dyDescent="0.25">
      <c r="A42" s="179" t="s">
        <v>139</v>
      </c>
      <c r="B42" s="179" t="s">
        <v>140</v>
      </c>
      <c r="C42" s="181">
        <v>-799180370.62</v>
      </c>
      <c r="D42" s="181">
        <v>-105587182</v>
      </c>
      <c r="E42" s="181">
        <v>-904767552.62</v>
      </c>
    </row>
    <row r="43" spans="1:5" x14ac:dyDescent="0.25">
      <c r="A43" s="179" t="s">
        <v>141</v>
      </c>
      <c r="B43" s="179" t="s">
        <v>142</v>
      </c>
      <c r="C43" s="181">
        <v>-51990399.479999997</v>
      </c>
      <c r="D43" s="181">
        <v>-14817152.5</v>
      </c>
      <c r="E43" s="181">
        <v>-66807551.979999997</v>
      </c>
    </row>
    <row r="44" spans="1:5" x14ac:dyDescent="0.25">
      <c r="A44" s="182" t="s">
        <v>143</v>
      </c>
      <c r="B44" s="183"/>
      <c r="C44" s="184">
        <f>SUM(C40:C43)</f>
        <v>-5236988004.2199993</v>
      </c>
      <c r="D44" s="184">
        <f>SUM(D40:D43)</f>
        <v>-632910928.93000007</v>
      </c>
      <c r="E44" s="184">
        <f>SUM(E40:E43)</f>
        <v>-5869898933.1499987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-44466983.909999996</v>
      </c>
      <c r="D56" s="181">
        <v>-8961698.2599999998</v>
      </c>
      <c r="E56" s="181">
        <v>-53428682.170000002</v>
      </c>
    </row>
    <row r="57" spans="1:5" x14ac:dyDescent="0.25">
      <c r="A57" s="179" t="s">
        <v>152</v>
      </c>
      <c r="B57" s="179" t="s">
        <v>41</v>
      </c>
      <c r="C57" s="181">
        <v>-12988214.59</v>
      </c>
      <c r="D57" s="181">
        <v>1250226.1200000001</v>
      </c>
      <c r="E57" s="181">
        <v>-11737988.470000001</v>
      </c>
    </row>
    <row r="58" spans="1:5" x14ac:dyDescent="0.25">
      <c r="A58" s="179" t="s">
        <v>153</v>
      </c>
      <c r="B58" s="179" t="s">
        <v>42</v>
      </c>
      <c r="C58" s="181">
        <v>-2272682.75</v>
      </c>
      <c r="D58" s="181">
        <v>679403.24</v>
      </c>
      <c r="E58" s="181">
        <v>-1593279.51</v>
      </c>
    </row>
    <row r="59" spans="1:5" x14ac:dyDescent="0.25">
      <c r="A59" s="179" t="s">
        <v>154</v>
      </c>
      <c r="B59" s="179" t="s">
        <v>43</v>
      </c>
      <c r="C59" s="181">
        <v>-5540263.3899999997</v>
      </c>
      <c r="D59" s="181">
        <v>-1859431.99</v>
      </c>
      <c r="E59" s="181">
        <v>-7399695.3799999999</v>
      </c>
    </row>
    <row r="60" spans="1:5" x14ac:dyDescent="0.25">
      <c r="A60" s="182" t="s">
        <v>155</v>
      </c>
      <c r="B60" s="183"/>
      <c r="C60" s="184">
        <f>SUM(C56:C59)</f>
        <v>-65268144.640000001</v>
      </c>
      <c r="D60" s="184">
        <f>SUM(D56:D59)</f>
        <v>-8891500.8899999987</v>
      </c>
      <c r="E60" s="184">
        <f>SUM(E56:E59)</f>
        <v>-74159645.530000001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9749095.5899999999</v>
      </c>
      <c r="D62" s="181">
        <v>1161555.95</v>
      </c>
      <c r="E62" s="181">
        <v>10910651.539999999</v>
      </c>
    </row>
    <row r="63" spans="1:5" x14ac:dyDescent="0.25">
      <c r="A63" s="179" t="s">
        <v>158</v>
      </c>
      <c r="B63" s="179" t="s">
        <v>159</v>
      </c>
      <c r="C63" s="181">
        <v>339842.44</v>
      </c>
      <c r="D63" s="181">
        <v>44229.440000000002</v>
      </c>
      <c r="E63" s="181">
        <v>384071.88</v>
      </c>
    </row>
    <row r="64" spans="1:5" x14ac:dyDescent="0.25">
      <c r="A64" s="179" t="s">
        <v>160</v>
      </c>
      <c r="B64" s="179" t="s">
        <v>161</v>
      </c>
      <c r="C64" s="181">
        <v>87748.7</v>
      </c>
      <c r="D64" s="181">
        <v>29772.23</v>
      </c>
      <c r="E64" s="181">
        <v>117520.93</v>
      </c>
    </row>
    <row r="65" spans="1:5" x14ac:dyDescent="0.25">
      <c r="A65" s="179" t="s">
        <v>162</v>
      </c>
      <c r="B65" s="179" t="s">
        <v>163</v>
      </c>
      <c r="C65" s="181">
        <v>943004.85</v>
      </c>
      <c r="D65" s="181">
        <v>143485.38</v>
      </c>
      <c r="E65" s="181">
        <v>1086490.23</v>
      </c>
    </row>
    <row r="66" spans="1:5" x14ac:dyDescent="0.25">
      <c r="A66" s="182" t="s">
        <v>164</v>
      </c>
      <c r="B66" s="183"/>
      <c r="C66" s="184">
        <f>SUM(C62:C65)</f>
        <v>11119691.579999998</v>
      </c>
      <c r="D66" s="184">
        <f>SUM(D62:D65)</f>
        <v>1379043</v>
      </c>
      <c r="E66" s="184">
        <f>SUM(E62:E65)</f>
        <v>12498734.58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187423542.72000068</v>
      </c>
      <c r="D68" s="184">
        <f>D14+D20+D26+D32+D38+D44+D46+D54+D60+D66</f>
        <v>95176423.399999842</v>
      </c>
      <c r="E68" s="184">
        <f>E14+E20+E26+E32+E38+E44+E46+E54+E60+E66</f>
        <v>282599966.12000066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C40" sqref="C40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368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367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199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2170546550.1700001</v>
      </c>
      <c r="D9" s="500">
        <v>188960908.28999999</v>
      </c>
      <c r="E9" s="500">
        <v>2359507458.46</v>
      </c>
    </row>
    <row r="10" spans="1:5" x14ac:dyDescent="0.25">
      <c r="A10" s="499" t="s">
        <v>94</v>
      </c>
      <c r="B10" s="499" t="s">
        <v>35</v>
      </c>
      <c r="C10" s="501">
        <v>4194324763.0999999</v>
      </c>
      <c r="D10" s="501">
        <v>381468849.30000001</v>
      </c>
      <c r="E10" s="501">
        <v>4575793612.3999996</v>
      </c>
    </row>
    <row r="11" spans="1:5" x14ac:dyDescent="0.25">
      <c r="A11" s="499" t="s">
        <v>95</v>
      </c>
      <c r="B11" s="499" t="s">
        <v>36</v>
      </c>
      <c r="C11" s="501">
        <v>2152559787.7399998</v>
      </c>
      <c r="D11" s="501">
        <v>166315592.15000001</v>
      </c>
      <c r="E11" s="501">
        <v>2318875379.8899999</v>
      </c>
    </row>
    <row r="12" spans="1:5" x14ac:dyDescent="0.25">
      <c r="A12" s="499" t="s">
        <v>96</v>
      </c>
      <c r="B12" s="499" t="s">
        <v>37</v>
      </c>
      <c r="C12" s="501">
        <v>105430973.55</v>
      </c>
      <c r="D12" s="501">
        <v>10347200.75</v>
      </c>
      <c r="E12" s="501">
        <v>115778174.3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8622862074.5599995</v>
      </c>
      <c r="D14" s="504">
        <f>SUM(D9:D13)</f>
        <v>747092550.49000001</v>
      </c>
      <c r="E14" s="504">
        <f>SUM(E9:E13)</f>
        <v>9369954625.0499992</v>
      </c>
    </row>
    <row r="16" spans="1:5" x14ac:dyDescent="0.25">
      <c r="A16" s="499" t="s">
        <v>99</v>
      </c>
      <c r="B16" s="499" t="s">
        <v>100</v>
      </c>
      <c r="C16" s="501">
        <v>1313358.8799999999</v>
      </c>
      <c r="D16" s="501">
        <v>138336.29999999999</v>
      </c>
      <c r="E16" s="501">
        <v>1451695.18</v>
      </c>
    </row>
    <row r="17" spans="1:5" x14ac:dyDescent="0.25">
      <c r="A17" s="499" t="s">
        <v>101</v>
      </c>
      <c r="B17" s="499" t="s">
        <v>102</v>
      </c>
      <c r="C17" s="501">
        <v>2530724.27</v>
      </c>
      <c r="D17" s="501">
        <v>278496.78000000003</v>
      </c>
      <c r="E17" s="501">
        <v>2809221.05</v>
      </c>
    </row>
    <row r="18" spans="1:5" x14ac:dyDescent="0.25">
      <c r="A18" s="499" t="s">
        <v>103</v>
      </c>
      <c r="B18" s="499" t="s">
        <v>104</v>
      </c>
      <c r="C18" s="501">
        <v>2010507.94</v>
      </c>
      <c r="D18" s="501">
        <v>185615.06</v>
      </c>
      <c r="E18" s="501">
        <v>2196123</v>
      </c>
    </row>
    <row r="19" spans="1:5" x14ac:dyDescent="0.25">
      <c r="A19" s="499" t="s">
        <v>105</v>
      </c>
      <c r="B19" s="499" t="s">
        <v>106</v>
      </c>
      <c r="C19" s="501">
        <v>60904.160000000003</v>
      </c>
      <c r="D19" s="501">
        <v>7207.8</v>
      </c>
      <c r="E19" s="501">
        <v>68111.960000000006</v>
      </c>
    </row>
    <row r="20" spans="1:5" x14ac:dyDescent="0.25">
      <c r="A20" s="502" t="s">
        <v>107</v>
      </c>
      <c r="B20" s="503"/>
      <c r="C20" s="504">
        <f>SUM(C16:C19)</f>
        <v>5915495.25</v>
      </c>
      <c r="D20" s="504">
        <f>SUM(D16:D19)</f>
        <v>609655.94000000006</v>
      </c>
      <c r="E20" s="504">
        <f>SUM(E16:E19)</f>
        <v>6525151.1899999995</v>
      </c>
    </row>
    <row r="22" spans="1:5" x14ac:dyDescent="0.25">
      <c r="A22" s="499" t="s">
        <v>108</v>
      </c>
      <c r="B22" s="499" t="s">
        <v>109</v>
      </c>
      <c r="C22" s="501">
        <v>257162.33</v>
      </c>
      <c r="D22" s="501">
        <v>57461.36</v>
      </c>
      <c r="E22" s="501">
        <v>314623.69</v>
      </c>
    </row>
    <row r="23" spans="1:5" x14ac:dyDescent="0.25">
      <c r="A23" s="499" t="s">
        <v>110</v>
      </c>
      <c r="B23" s="499" t="s">
        <v>111</v>
      </c>
      <c r="C23" s="501">
        <v>512504.41</v>
      </c>
      <c r="D23" s="501">
        <v>115968.31</v>
      </c>
      <c r="E23" s="501">
        <v>628472.72</v>
      </c>
    </row>
    <row r="24" spans="1:5" x14ac:dyDescent="0.25">
      <c r="A24" s="499" t="s">
        <v>112</v>
      </c>
      <c r="B24" s="499" t="s">
        <v>113</v>
      </c>
      <c r="C24" s="501">
        <v>257454.95</v>
      </c>
      <c r="D24" s="501">
        <v>50733.25</v>
      </c>
      <c r="E24" s="501">
        <v>308188.2</v>
      </c>
    </row>
    <row r="25" spans="1:5" x14ac:dyDescent="0.25">
      <c r="A25" s="499" t="s">
        <v>114</v>
      </c>
      <c r="B25" s="499" t="s">
        <v>115</v>
      </c>
      <c r="C25" s="501">
        <v>17207.189999999999</v>
      </c>
      <c r="D25" s="501">
        <v>3136.76</v>
      </c>
      <c r="E25" s="501">
        <v>20343.95</v>
      </c>
    </row>
    <row r="26" spans="1:5" x14ac:dyDescent="0.25">
      <c r="A26" s="502" t="s">
        <v>116</v>
      </c>
      <c r="B26" s="503"/>
      <c r="C26" s="504">
        <f>SUM(C22:C25)</f>
        <v>1044328.8799999999</v>
      </c>
      <c r="D26" s="504">
        <f>SUM(D22:D25)</f>
        <v>227299.68</v>
      </c>
      <c r="E26" s="504">
        <f>SUM(E22:E25)</f>
        <v>1271628.5599999998</v>
      </c>
    </row>
    <row r="28" spans="1:5" x14ac:dyDescent="0.25">
      <c r="A28" s="499" t="s">
        <v>117</v>
      </c>
      <c r="B28" s="499" t="s">
        <v>118</v>
      </c>
      <c r="C28" s="501">
        <v>1272.4000000000001</v>
      </c>
      <c r="D28" s="501">
        <v>252.8</v>
      </c>
      <c r="E28" s="501">
        <v>1525.2</v>
      </c>
    </row>
    <row r="29" spans="1:5" x14ac:dyDescent="0.25">
      <c r="A29" s="499" t="s">
        <v>119</v>
      </c>
      <c r="B29" s="499" t="s">
        <v>120</v>
      </c>
      <c r="C29" s="501">
        <v>2475.5</v>
      </c>
      <c r="D29" s="501">
        <v>510.2</v>
      </c>
      <c r="E29" s="501">
        <v>2985.7</v>
      </c>
    </row>
    <row r="30" spans="1:5" x14ac:dyDescent="0.25">
      <c r="A30" s="499" t="s">
        <v>121</v>
      </c>
      <c r="B30" s="499" t="s">
        <v>122</v>
      </c>
      <c r="C30" s="501">
        <v>1190.7</v>
      </c>
      <c r="D30" s="501">
        <v>223.2</v>
      </c>
      <c r="E30" s="501">
        <v>1413.9</v>
      </c>
    </row>
    <row r="31" spans="1:5" x14ac:dyDescent="0.25">
      <c r="A31" s="499" t="s">
        <v>123</v>
      </c>
      <c r="B31" s="499" t="s">
        <v>124</v>
      </c>
      <c r="C31" s="501">
        <v>61.4</v>
      </c>
      <c r="D31" s="501">
        <v>13.8</v>
      </c>
      <c r="E31" s="501">
        <v>75.2</v>
      </c>
    </row>
    <row r="32" spans="1:5" x14ac:dyDescent="0.25">
      <c r="A32" s="502" t="s">
        <v>125</v>
      </c>
      <c r="B32" s="503"/>
      <c r="C32" s="504">
        <f>SUM(C28:C31)</f>
        <v>5000</v>
      </c>
      <c r="D32" s="504">
        <f>SUM(D28:D31)</f>
        <v>1000</v>
      </c>
      <c r="E32" s="504">
        <f>SUM(E28:E31)</f>
        <v>5999.9999999999991</v>
      </c>
    </row>
    <row r="34" spans="1:5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5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5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5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5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5" x14ac:dyDescent="0.25">
      <c r="A40" s="499" t="s">
        <v>126</v>
      </c>
      <c r="B40" s="499" t="s">
        <v>347</v>
      </c>
      <c r="C40" s="501">
        <v>-7706072.0800000001</v>
      </c>
      <c r="D40" s="501">
        <v>-7608837.29</v>
      </c>
      <c r="E40" s="501">
        <v>-15314909.369999999</v>
      </c>
    </row>
    <row r="41" spans="1:5" x14ac:dyDescent="0.25">
      <c r="A41" s="499" t="s">
        <v>128</v>
      </c>
      <c r="B41" s="499" t="s">
        <v>348</v>
      </c>
      <c r="C41" s="501">
        <v>-15022621.390000001</v>
      </c>
      <c r="D41" s="501">
        <v>-40840131.109999999</v>
      </c>
      <c r="E41" s="501">
        <v>-55862752.5</v>
      </c>
    </row>
    <row r="42" spans="1:5" x14ac:dyDescent="0.25">
      <c r="A42" s="499" t="s">
        <v>130</v>
      </c>
      <c r="B42" s="499" t="s">
        <v>349</v>
      </c>
      <c r="C42" s="501">
        <v>-7489303.25</v>
      </c>
      <c r="D42" s="501">
        <v>-6873123.3499999996</v>
      </c>
      <c r="E42" s="501">
        <v>-14362426.6</v>
      </c>
    </row>
    <row r="43" spans="1:5" x14ac:dyDescent="0.25">
      <c r="A43" s="499" t="s">
        <v>132</v>
      </c>
      <c r="B43" s="499" t="s">
        <v>350</v>
      </c>
      <c r="C43" s="501">
        <v>-354361.58</v>
      </c>
      <c r="D43" s="501">
        <v>-428332.31</v>
      </c>
      <c r="E43" s="501">
        <v>-782693.89</v>
      </c>
    </row>
    <row r="44" spans="1:5" x14ac:dyDescent="0.25">
      <c r="A44" s="502" t="s">
        <v>134</v>
      </c>
      <c r="B44" s="503"/>
      <c r="C44" s="504">
        <f>SUM(C40:C43)</f>
        <v>-30572358.299999997</v>
      </c>
      <c r="D44" s="504">
        <f>SUM(D40:D43)</f>
        <v>-55750424.060000002</v>
      </c>
      <c r="E44" s="504">
        <f>SUM(E40:E43)</f>
        <v>-86322782.359999999</v>
      </c>
    </row>
    <row r="46" spans="1:5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5" x14ac:dyDescent="0.25">
      <c r="A47" s="499" t="s">
        <v>328</v>
      </c>
      <c r="B47" s="499" t="s">
        <v>329</v>
      </c>
      <c r="C47" s="501">
        <v>-52154486</v>
      </c>
      <c r="D47" s="501">
        <v>58018988</v>
      </c>
      <c r="E47" s="501">
        <v>5864502</v>
      </c>
    </row>
    <row r="48" spans="1:5" x14ac:dyDescent="0.25">
      <c r="A48" s="499" t="s">
        <v>330</v>
      </c>
      <c r="B48" s="499" t="s">
        <v>331</v>
      </c>
      <c r="C48" s="501">
        <v>-909069</v>
      </c>
      <c r="D48" s="501">
        <v>-2025755</v>
      </c>
      <c r="E48" s="501">
        <v>-2934824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-53063555</v>
      </c>
      <c r="D50" s="504">
        <f>SUM(D46:D49)</f>
        <v>55993233</v>
      </c>
      <c r="E50" s="504">
        <f>SUM(E46:E49)</f>
        <v>2929678</v>
      </c>
    </row>
    <row r="52" spans="1:5" x14ac:dyDescent="0.25">
      <c r="A52" s="499" t="s">
        <v>135</v>
      </c>
      <c r="B52" s="499" t="s">
        <v>136</v>
      </c>
      <c r="C52" s="501">
        <v>-2000690131.71</v>
      </c>
      <c r="D52" s="501">
        <v>-206855179.44999999</v>
      </c>
      <c r="E52" s="501">
        <v>-2207545311.1599998</v>
      </c>
    </row>
    <row r="53" spans="1:5" x14ac:dyDescent="0.25">
      <c r="A53" s="499" t="s">
        <v>137</v>
      </c>
      <c r="B53" s="499" t="s">
        <v>138</v>
      </c>
      <c r="C53" s="501">
        <v>-3759706243.9299998</v>
      </c>
      <c r="D53" s="501">
        <v>-318930624.81999999</v>
      </c>
      <c r="E53" s="501">
        <v>-4078636868.75</v>
      </c>
    </row>
    <row r="54" spans="1:5" x14ac:dyDescent="0.25">
      <c r="A54" s="499" t="s">
        <v>139</v>
      </c>
      <c r="B54" s="499" t="s">
        <v>140</v>
      </c>
      <c r="C54" s="501">
        <v>-1923287925.54</v>
      </c>
      <c r="D54" s="501">
        <v>-151490899.75</v>
      </c>
      <c r="E54" s="501">
        <v>-2074778825.29</v>
      </c>
    </row>
    <row r="55" spans="1:5" x14ac:dyDescent="0.25">
      <c r="A55" s="499" t="s">
        <v>141</v>
      </c>
      <c r="B55" s="499" t="s">
        <v>142</v>
      </c>
      <c r="C55" s="501">
        <v>-134528102.65000001</v>
      </c>
      <c r="D55" s="501">
        <v>-24940089.829999998</v>
      </c>
      <c r="E55" s="501">
        <v>-159468192.47999999</v>
      </c>
    </row>
    <row r="56" spans="1:5" x14ac:dyDescent="0.25">
      <c r="A56" s="502" t="s">
        <v>143</v>
      </c>
      <c r="B56" s="503"/>
      <c r="C56" s="504">
        <f>SUM(C52:C55)</f>
        <v>-7818212403.829999</v>
      </c>
      <c r="D56" s="504">
        <f>SUM(D52:D55)</f>
        <v>-702216793.85000002</v>
      </c>
      <c r="E56" s="504">
        <f>SUM(E52:E55)</f>
        <v>-8520429197.6799994</v>
      </c>
    </row>
    <row r="58" spans="1:5" x14ac:dyDescent="0.25">
      <c r="A58" s="499" t="s">
        <v>351</v>
      </c>
      <c r="B58" s="499" t="s">
        <v>352</v>
      </c>
      <c r="C58" s="501">
        <v>-43696384.450000003</v>
      </c>
      <c r="D58" s="501">
        <v>-2440150.52</v>
      </c>
      <c r="E58" s="501">
        <v>-46136534.969999999</v>
      </c>
    </row>
    <row r="59" spans="1:5" x14ac:dyDescent="0.25">
      <c r="A59" s="499" t="s">
        <v>353</v>
      </c>
      <c r="B59" s="499" t="s">
        <v>354</v>
      </c>
      <c r="C59" s="501">
        <v>-540.66</v>
      </c>
      <c r="D59" s="501">
        <v>-554240.21</v>
      </c>
      <c r="E59" s="501">
        <v>-554780.87</v>
      </c>
    </row>
    <row r="60" spans="1:5" x14ac:dyDescent="0.25">
      <c r="C60" s="501">
        <f>SUM(C58:C59)</f>
        <v>-43696925.109999999</v>
      </c>
      <c r="D60" s="501">
        <f>SUM(D58:D59)</f>
        <v>-2994390.73</v>
      </c>
      <c r="E60" s="501">
        <f>SUM(E58:E59)</f>
        <v>-46691315.839999996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-63996453.640000001</v>
      </c>
      <c r="D72" s="501">
        <v>-5783738.2599999998</v>
      </c>
      <c r="E72" s="501">
        <v>-69780191.900000006</v>
      </c>
    </row>
    <row r="73" spans="1:5" x14ac:dyDescent="0.25">
      <c r="A73" s="499" t="s">
        <v>152</v>
      </c>
      <c r="B73" s="499" t="s">
        <v>41</v>
      </c>
      <c r="C73" s="501">
        <v>-14488767.66</v>
      </c>
      <c r="D73" s="501">
        <v>-1442388.68</v>
      </c>
      <c r="E73" s="501">
        <v>-15931156.34</v>
      </c>
    </row>
    <row r="74" spans="1:5" x14ac:dyDescent="0.25">
      <c r="A74" s="499" t="s">
        <v>153</v>
      </c>
      <c r="B74" s="499" t="s">
        <v>42</v>
      </c>
      <c r="C74" s="501">
        <v>-6053088.5300000003</v>
      </c>
      <c r="D74" s="501">
        <v>-606903.86</v>
      </c>
      <c r="E74" s="501">
        <v>-6659992.3899999997</v>
      </c>
    </row>
    <row r="75" spans="1:5" x14ac:dyDescent="0.25">
      <c r="A75" s="499" t="s">
        <v>154</v>
      </c>
      <c r="B75" s="499" t="s">
        <v>43</v>
      </c>
      <c r="C75" s="501">
        <v>-12319537.25</v>
      </c>
      <c r="D75" s="501">
        <v>-665959.76</v>
      </c>
      <c r="E75" s="501">
        <v>-12985497.01</v>
      </c>
    </row>
    <row r="76" spans="1:5" x14ac:dyDescent="0.25">
      <c r="A76" s="502" t="s">
        <v>155</v>
      </c>
      <c r="B76" s="503"/>
      <c r="C76" s="504">
        <f>SUM(C72:C75)</f>
        <v>-96857847.079999998</v>
      </c>
      <c r="D76" s="504">
        <f>SUM(D72:D75)</f>
        <v>-8498990.5600000005</v>
      </c>
      <c r="E76" s="504">
        <f>SUM(E72:E75)</f>
        <v>-105356837.64000002</v>
      </c>
    </row>
    <row r="78" spans="1:5" x14ac:dyDescent="0.25">
      <c r="A78" s="499" t="s">
        <v>156</v>
      </c>
      <c r="B78" s="499" t="s">
        <v>157</v>
      </c>
      <c r="C78" s="501">
        <v>9998662.6500000004</v>
      </c>
      <c r="D78" s="501">
        <v>1396390.09</v>
      </c>
      <c r="E78" s="501">
        <v>11395052.74</v>
      </c>
    </row>
    <row r="79" spans="1:5" x14ac:dyDescent="0.25">
      <c r="A79" s="499" t="s">
        <v>158</v>
      </c>
      <c r="B79" s="499" t="s">
        <v>159</v>
      </c>
      <c r="C79" s="501">
        <v>8552307.8300000001</v>
      </c>
      <c r="D79" s="501">
        <v>393421.03</v>
      </c>
      <c r="E79" s="501">
        <v>8945728.8599999994</v>
      </c>
    </row>
    <row r="80" spans="1:5" x14ac:dyDescent="0.25">
      <c r="A80" s="499" t="s">
        <v>160</v>
      </c>
      <c r="B80" s="499" t="s">
        <v>161</v>
      </c>
      <c r="C80" s="501">
        <v>346916.15</v>
      </c>
      <c r="D80" s="501">
        <v>33110.82</v>
      </c>
      <c r="E80" s="501">
        <v>380026.97</v>
      </c>
    </row>
    <row r="81" spans="1:5" x14ac:dyDescent="0.25">
      <c r="A81" s="499" t="s">
        <v>162</v>
      </c>
      <c r="B81" s="499" t="s">
        <v>163</v>
      </c>
      <c r="C81" s="501">
        <v>6017123.6200000001</v>
      </c>
      <c r="D81" s="501">
        <v>219164.08</v>
      </c>
      <c r="E81" s="501">
        <v>6236287.7000000002</v>
      </c>
    </row>
    <row r="82" spans="1:5" x14ac:dyDescent="0.25">
      <c r="A82" s="502" t="s">
        <v>164</v>
      </c>
      <c r="B82" s="503"/>
      <c r="C82" s="504">
        <f>SUM(C78:C81)</f>
        <v>24915010.25</v>
      </c>
      <c r="D82" s="504">
        <f>SUM(D78:D81)</f>
        <v>2042086.0200000003</v>
      </c>
      <c r="E82" s="504">
        <f>SUM(E78:E81)</f>
        <v>26957096.27</v>
      </c>
    </row>
    <row r="84" spans="1:5" x14ac:dyDescent="0.25">
      <c r="A84" s="502" t="s">
        <v>31</v>
      </c>
      <c r="B84" s="503"/>
      <c r="C84" s="504">
        <f>C14+C20+C26+C32+C44+C56+C62+C70+C76+C82+C50+C38+C60</f>
        <v>612338819.62000036</v>
      </c>
      <c r="D84" s="504">
        <f>D14+D20+D26+D32+D44+D56+D62+D70+D76+D82+D50+D38+D60</f>
        <v>36505225.929999925</v>
      </c>
      <c r="E84" s="504">
        <f>E14+E20+E26+E32+E44+E56+E62+E70+E76+E82+E50+E38+E60</f>
        <v>648844045.54999924</v>
      </c>
    </row>
  </sheetData>
  <pageMargins left="0.75" right="0.75" top="0.75" bottom="0.75" header="0.5" footer="0.5"/>
  <pageSetup scale="6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21" workbookViewId="0">
      <selection activeCell="D62" sqref="D62"/>
    </sheetView>
  </sheetViews>
  <sheetFormatPr defaultRowHeight="13.2" x14ac:dyDescent="0.25"/>
  <cols>
    <col min="1" max="1" width="24.3320312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8" x14ac:dyDescent="0.25">
      <c r="A1" s="169" t="s">
        <v>53</v>
      </c>
      <c r="B1" s="170"/>
      <c r="C1" s="170"/>
      <c r="D1" s="170"/>
      <c r="E1" s="170"/>
    </row>
    <row r="2" spans="1:8" x14ac:dyDescent="0.25">
      <c r="A2" s="171" t="s">
        <v>86</v>
      </c>
      <c r="B2" s="172"/>
      <c r="C2" s="172"/>
      <c r="D2" s="172"/>
      <c r="E2" s="172"/>
    </row>
    <row r="3" spans="1:8" x14ac:dyDescent="0.25">
      <c r="A3" s="169" t="s">
        <v>276</v>
      </c>
      <c r="B3" s="170"/>
      <c r="C3" s="170"/>
      <c r="D3" s="170"/>
      <c r="E3" s="170"/>
    </row>
    <row r="4" spans="1:8" x14ac:dyDescent="0.25">
      <c r="A4" s="173" t="s">
        <v>88</v>
      </c>
      <c r="B4" s="174"/>
      <c r="C4" s="174"/>
      <c r="D4" s="174"/>
      <c r="E4" s="174"/>
    </row>
    <row r="5" spans="1:8" x14ac:dyDescent="0.25">
      <c r="A5" s="175" t="s">
        <v>277</v>
      </c>
      <c r="B5" s="176"/>
      <c r="C5" s="176"/>
      <c r="D5" s="176"/>
      <c r="E5" s="176"/>
    </row>
    <row r="6" spans="1:8" x14ac:dyDescent="0.25">
      <c r="A6" s="177"/>
      <c r="B6" s="177"/>
      <c r="C6" s="177"/>
      <c r="D6" s="177"/>
      <c r="E6" s="177"/>
    </row>
    <row r="7" spans="1:8" x14ac:dyDescent="0.25">
      <c r="A7" s="177"/>
      <c r="B7" s="178" t="s">
        <v>30</v>
      </c>
      <c r="C7" s="178" t="s">
        <v>90</v>
      </c>
      <c r="D7" s="178" t="s">
        <v>185</v>
      </c>
      <c r="E7" s="178" t="s">
        <v>92</v>
      </c>
    </row>
    <row r="8" spans="1:8" x14ac:dyDescent="0.25">
      <c r="A8" s="177"/>
      <c r="B8" s="177"/>
      <c r="C8" s="177"/>
      <c r="D8" s="177"/>
      <c r="E8" s="177"/>
    </row>
    <row r="9" spans="1:8" x14ac:dyDescent="0.25">
      <c r="A9" s="179" t="s">
        <v>93</v>
      </c>
      <c r="B9" s="179" t="s">
        <v>34</v>
      </c>
      <c r="C9" s="180">
        <v>1348673380.4000001</v>
      </c>
      <c r="D9" s="180">
        <v>191005719.16999999</v>
      </c>
      <c r="E9" s="180">
        <v>1539679099.5699999</v>
      </c>
    </row>
    <row r="10" spans="1:8" x14ac:dyDescent="0.25">
      <c r="A10" s="179" t="s">
        <v>94</v>
      </c>
      <c r="B10" s="179" t="s">
        <v>35</v>
      </c>
      <c r="C10" s="181">
        <v>2489246037.4299998</v>
      </c>
      <c r="D10" s="181">
        <v>401537300.19999999</v>
      </c>
      <c r="E10" s="181">
        <v>2890783337.6300001</v>
      </c>
      <c r="H10" t="s">
        <v>278</v>
      </c>
    </row>
    <row r="11" spans="1:8" x14ac:dyDescent="0.25">
      <c r="A11" s="179" t="s">
        <v>95</v>
      </c>
      <c r="B11" s="179" t="s">
        <v>36</v>
      </c>
      <c r="C11" s="181">
        <v>780706191.32000005</v>
      </c>
      <c r="D11" s="181">
        <v>131371066.78</v>
      </c>
      <c r="E11" s="181">
        <v>912077258.10000002</v>
      </c>
    </row>
    <row r="12" spans="1:8" x14ac:dyDescent="0.25">
      <c r="A12" s="179" t="s">
        <v>96</v>
      </c>
      <c r="B12" s="179" t="s">
        <v>37</v>
      </c>
      <c r="C12" s="181">
        <v>126606653.68000001</v>
      </c>
      <c r="D12" s="181">
        <v>18683097.59</v>
      </c>
      <c r="E12" s="181">
        <v>145289751.27000001</v>
      </c>
    </row>
    <row r="13" spans="1:8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8" x14ac:dyDescent="0.25">
      <c r="A14" s="182" t="s">
        <v>98</v>
      </c>
      <c r="B14" s="183"/>
      <c r="C14" s="184">
        <f>SUM(C9:C13)</f>
        <v>4745232262.8299999</v>
      </c>
      <c r="D14" s="184">
        <f>SUM(D9:D13)</f>
        <v>742597183.74000001</v>
      </c>
      <c r="E14" s="184">
        <f>SUM(E9:E13)</f>
        <v>5487829446.5700006</v>
      </c>
    </row>
    <row r="15" spans="1:8" x14ac:dyDescent="0.25">
      <c r="A15" s="185"/>
      <c r="B15" s="185"/>
      <c r="C15" s="181"/>
      <c r="D15" s="181"/>
      <c r="E15" s="181"/>
    </row>
    <row r="16" spans="1:8" x14ac:dyDescent="0.25">
      <c r="A16" s="179" t="s">
        <v>99</v>
      </c>
      <c r="B16" s="179" t="s">
        <v>100</v>
      </c>
      <c r="C16" s="181">
        <v>808026.15</v>
      </c>
      <c r="D16" s="181">
        <v>126425.3</v>
      </c>
      <c r="E16" s="181">
        <v>934451.45</v>
      </c>
    </row>
    <row r="17" spans="1:5" x14ac:dyDescent="0.25">
      <c r="A17" s="179" t="s">
        <v>101</v>
      </c>
      <c r="B17" s="179" t="s">
        <v>102</v>
      </c>
      <c r="C17" s="181">
        <v>1487982.97</v>
      </c>
      <c r="D17" s="181">
        <v>265683.15000000002</v>
      </c>
      <c r="E17" s="181">
        <v>1753666.12</v>
      </c>
    </row>
    <row r="18" spans="1:5" x14ac:dyDescent="0.25">
      <c r="A18" s="179" t="s">
        <v>103</v>
      </c>
      <c r="B18" s="179" t="s">
        <v>104</v>
      </c>
      <c r="C18" s="181">
        <v>479035.59</v>
      </c>
      <c r="D18" s="181">
        <v>87015.18</v>
      </c>
      <c r="E18" s="181">
        <v>566050.77</v>
      </c>
    </row>
    <row r="19" spans="1:5" x14ac:dyDescent="0.25">
      <c r="A19" s="179" t="s">
        <v>105</v>
      </c>
      <c r="B19" s="179" t="s">
        <v>106</v>
      </c>
      <c r="C19" s="181">
        <v>75505.39</v>
      </c>
      <c r="D19" s="181">
        <v>12407.36</v>
      </c>
      <c r="E19" s="181">
        <v>87912.75</v>
      </c>
    </row>
    <row r="20" spans="1:5" x14ac:dyDescent="0.25">
      <c r="A20" s="182" t="s">
        <v>107</v>
      </c>
      <c r="B20" s="183"/>
      <c r="C20" s="184">
        <f>SUM(C16:C19)</f>
        <v>2850550.1</v>
      </c>
      <c r="D20" s="184">
        <f>SUM(D16:D19)</f>
        <v>491530.99</v>
      </c>
      <c r="E20" s="184">
        <f>SUM(E16:E19)</f>
        <v>3342081.0900000003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477876.2</v>
      </c>
      <c r="D22" s="181">
        <v>50725.58</v>
      </c>
      <c r="E22" s="181">
        <v>528601.78</v>
      </c>
    </row>
    <row r="23" spans="1:5" x14ac:dyDescent="0.25">
      <c r="A23" s="179" t="s">
        <v>110</v>
      </c>
      <c r="B23" s="179" t="s">
        <v>111</v>
      </c>
      <c r="C23" s="181">
        <v>883420.44</v>
      </c>
      <c r="D23" s="181">
        <v>106659.76</v>
      </c>
      <c r="E23" s="181">
        <v>990080.2</v>
      </c>
    </row>
    <row r="24" spans="1:5" x14ac:dyDescent="0.25">
      <c r="A24" s="179" t="s">
        <v>112</v>
      </c>
      <c r="B24" s="179" t="s">
        <v>113</v>
      </c>
      <c r="C24" s="181">
        <v>276747.90999999997</v>
      </c>
      <c r="D24" s="181">
        <v>34941.660000000003</v>
      </c>
      <c r="E24" s="181">
        <v>311689.57</v>
      </c>
    </row>
    <row r="25" spans="1:5" x14ac:dyDescent="0.25">
      <c r="A25" s="179" t="s">
        <v>114</v>
      </c>
      <c r="B25" s="179" t="s">
        <v>115</v>
      </c>
      <c r="C25" s="181">
        <v>44889.58</v>
      </c>
      <c r="D25" s="181">
        <v>4971.87</v>
      </c>
      <c r="E25" s="181">
        <v>49861.45</v>
      </c>
    </row>
    <row r="26" spans="1:5" x14ac:dyDescent="0.25">
      <c r="A26" s="182" t="s">
        <v>116</v>
      </c>
      <c r="B26" s="183"/>
      <c r="C26" s="184">
        <f>SUM(C22:C25)</f>
        <v>1682934.13</v>
      </c>
      <c r="D26" s="184">
        <f>SUM(D22:D25)</f>
        <v>197298.87</v>
      </c>
      <c r="E26" s="184">
        <f>SUM(E22:E25)</f>
        <v>1880233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2184.48</v>
      </c>
      <c r="D28" s="181">
        <v>0</v>
      </c>
      <c r="E28" s="181">
        <v>2184.48</v>
      </c>
    </row>
    <row r="29" spans="1:5" x14ac:dyDescent="0.25">
      <c r="A29" s="179" t="s">
        <v>119</v>
      </c>
      <c r="B29" s="179" t="s">
        <v>120</v>
      </c>
      <c r="C29" s="181">
        <v>3887.99</v>
      </c>
      <c r="D29" s="181">
        <v>0</v>
      </c>
      <c r="E29" s="181">
        <v>3887.99</v>
      </c>
    </row>
    <row r="30" spans="1:5" x14ac:dyDescent="0.25">
      <c r="A30" s="179" t="s">
        <v>121</v>
      </c>
      <c r="B30" s="179" t="s">
        <v>122</v>
      </c>
      <c r="C30" s="181">
        <v>1181.48</v>
      </c>
      <c r="D30" s="181">
        <v>0</v>
      </c>
      <c r="E30" s="181">
        <v>1181.48</v>
      </c>
    </row>
    <row r="31" spans="1:5" x14ac:dyDescent="0.25">
      <c r="A31" s="179" t="s">
        <v>123</v>
      </c>
      <c r="B31" s="179" t="s">
        <v>124</v>
      </c>
      <c r="C31" s="181">
        <v>200.45</v>
      </c>
      <c r="D31" s="181">
        <v>0</v>
      </c>
      <c r="E31" s="181">
        <v>200.45</v>
      </c>
    </row>
    <row r="32" spans="1:5" x14ac:dyDescent="0.25">
      <c r="A32" s="182" t="s">
        <v>125</v>
      </c>
      <c r="B32" s="183"/>
      <c r="C32" s="184">
        <f>SUM(C28:C31)</f>
        <v>7454.3999999999987</v>
      </c>
      <c r="D32" s="184">
        <f>SUM(D28:D31)</f>
        <v>0</v>
      </c>
      <c r="E32" s="184">
        <f>SUM(E28:E31)</f>
        <v>7454.3999999999987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-6956166.46</v>
      </c>
      <c r="D34" s="181">
        <v>-2398435.25</v>
      </c>
      <c r="E34" s="181">
        <v>-9354601.7100000009</v>
      </c>
    </row>
    <row r="35" spans="1:5" x14ac:dyDescent="0.25">
      <c r="A35" s="179" t="s">
        <v>128</v>
      </c>
      <c r="B35" s="179" t="s">
        <v>129</v>
      </c>
      <c r="C35" s="181">
        <v>-4425327.2300000004</v>
      </c>
      <c r="D35" s="181">
        <v>239137.7</v>
      </c>
      <c r="E35" s="181">
        <v>-4186189.53</v>
      </c>
    </row>
    <row r="36" spans="1:5" x14ac:dyDescent="0.25">
      <c r="A36" s="179" t="s">
        <v>130</v>
      </c>
      <c r="B36" s="179" t="s">
        <v>131</v>
      </c>
      <c r="C36" s="181">
        <v>-820108.7</v>
      </c>
      <c r="D36" s="181">
        <v>78341.259999999995</v>
      </c>
      <c r="E36" s="181">
        <v>-741767.44</v>
      </c>
    </row>
    <row r="37" spans="1:5" x14ac:dyDescent="0.25">
      <c r="A37" s="179" t="s">
        <v>132</v>
      </c>
      <c r="B37" s="179" t="s">
        <v>133</v>
      </c>
      <c r="C37" s="181">
        <v>-227803.76</v>
      </c>
      <c r="D37" s="181">
        <v>11147.38</v>
      </c>
      <c r="E37" s="181">
        <v>-216656.38</v>
      </c>
    </row>
    <row r="38" spans="1:5" x14ac:dyDescent="0.25">
      <c r="A38" s="182" t="s">
        <v>134</v>
      </c>
      <c r="B38" s="183"/>
      <c r="C38" s="184">
        <f>SUM(C34:C37)</f>
        <v>-12429406.15</v>
      </c>
      <c r="D38" s="184">
        <f>SUM(D34:D37)</f>
        <v>-2069808.91</v>
      </c>
      <c r="E38" s="184">
        <f>SUM(E34:E37)</f>
        <v>-14499215.060000001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-1224059567.6300001</v>
      </c>
      <c r="D40" s="181">
        <v>-186668957.41999999</v>
      </c>
      <c r="E40" s="181">
        <v>-1410728525.05</v>
      </c>
    </row>
    <row r="41" spans="1:5" x14ac:dyDescent="0.25">
      <c r="A41" s="179" t="s">
        <v>137</v>
      </c>
      <c r="B41" s="179" t="s">
        <v>138</v>
      </c>
      <c r="C41" s="181">
        <v>-2646711792</v>
      </c>
      <c r="D41" s="181">
        <v>-328376917.06999999</v>
      </c>
      <c r="E41" s="181">
        <v>-2975088709.0700002</v>
      </c>
    </row>
    <row r="42" spans="1:5" x14ac:dyDescent="0.25">
      <c r="A42" s="179" t="s">
        <v>139</v>
      </c>
      <c r="B42" s="179" t="s">
        <v>140</v>
      </c>
      <c r="C42" s="181">
        <v>-689085009.34000003</v>
      </c>
      <c r="D42" s="181">
        <v>-110095361.28</v>
      </c>
      <c r="E42" s="181">
        <v>-799180370.62</v>
      </c>
    </row>
    <row r="43" spans="1:5" x14ac:dyDescent="0.25">
      <c r="A43" s="179" t="s">
        <v>141</v>
      </c>
      <c r="B43" s="179" t="s">
        <v>142</v>
      </c>
      <c r="C43" s="181">
        <v>-45594141.079999998</v>
      </c>
      <c r="D43" s="181">
        <v>-6396258.4000000004</v>
      </c>
      <c r="E43" s="181">
        <v>-51990399.479999997</v>
      </c>
    </row>
    <row r="44" spans="1:5" x14ac:dyDescent="0.25">
      <c r="A44" s="182" t="s">
        <v>143</v>
      </c>
      <c r="B44" s="183"/>
      <c r="C44" s="184">
        <f>SUM(C40:C43)</f>
        <v>-4605450510.0500002</v>
      </c>
      <c r="D44" s="184">
        <f>SUM(D40:D43)</f>
        <v>-631537494.16999996</v>
      </c>
      <c r="E44" s="184">
        <f>SUM(E40:E43)</f>
        <v>-5236988004.2199993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-38877053.759999998</v>
      </c>
      <c r="D56" s="181">
        <v>-5589930.1500000004</v>
      </c>
      <c r="E56" s="181">
        <v>-44466983.909999996</v>
      </c>
    </row>
    <row r="57" spans="1:5" x14ac:dyDescent="0.25">
      <c r="A57" s="179" t="s">
        <v>152</v>
      </c>
      <c r="B57" s="179" t="s">
        <v>41</v>
      </c>
      <c r="C57" s="181">
        <v>-11815433.720000001</v>
      </c>
      <c r="D57" s="181">
        <v>-1172780.8700000001</v>
      </c>
      <c r="E57" s="181">
        <v>-12988214.59</v>
      </c>
    </row>
    <row r="58" spans="1:5" x14ac:dyDescent="0.25">
      <c r="A58" s="179" t="s">
        <v>153</v>
      </c>
      <c r="B58" s="179" t="s">
        <v>42</v>
      </c>
      <c r="C58" s="181">
        <v>-2266639.65</v>
      </c>
      <c r="D58" s="181">
        <v>-6043.1</v>
      </c>
      <c r="E58" s="181">
        <v>-2272682.75</v>
      </c>
    </row>
    <row r="59" spans="1:5" x14ac:dyDescent="0.25">
      <c r="A59" s="179" t="s">
        <v>154</v>
      </c>
      <c r="B59" s="179" t="s">
        <v>43</v>
      </c>
      <c r="C59" s="181">
        <v>-4707640.34</v>
      </c>
      <c r="D59" s="181">
        <v>-832623.05</v>
      </c>
      <c r="E59" s="181">
        <v>-5540263.3899999997</v>
      </c>
    </row>
    <row r="60" spans="1:5" x14ac:dyDescent="0.25">
      <c r="A60" s="182" t="s">
        <v>155</v>
      </c>
      <c r="B60" s="183"/>
      <c r="C60" s="184">
        <f>SUM(C56:C59)</f>
        <v>-57666767.469999999</v>
      </c>
      <c r="D60" s="184">
        <f>SUM(D56:D59)</f>
        <v>-7601377.1699999999</v>
      </c>
      <c r="E60" s="184">
        <f>SUM(E56:E59)</f>
        <v>-65268144.640000001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8505992.3900000006</v>
      </c>
      <c r="D62" s="181">
        <v>1243103.2</v>
      </c>
      <c r="E62" s="181">
        <v>9749095.5899999999</v>
      </c>
    </row>
    <row r="63" spans="1:5" x14ac:dyDescent="0.25">
      <c r="A63" s="179" t="s">
        <v>158</v>
      </c>
      <c r="B63" s="179" t="s">
        <v>159</v>
      </c>
      <c r="C63" s="181">
        <v>314272.5</v>
      </c>
      <c r="D63" s="181">
        <v>25569.94</v>
      </c>
      <c r="E63" s="181">
        <v>339842.44</v>
      </c>
    </row>
    <row r="64" spans="1:5" x14ac:dyDescent="0.25">
      <c r="A64" s="179" t="s">
        <v>160</v>
      </c>
      <c r="B64" s="179" t="s">
        <v>161</v>
      </c>
      <c r="C64" s="181">
        <v>67061.05</v>
      </c>
      <c r="D64" s="181">
        <v>20687.650000000001</v>
      </c>
      <c r="E64" s="181">
        <v>87748.7</v>
      </c>
    </row>
    <row r="65" spans="1:5" x14ac:dyDescent="0.25">
      <c r="A65" s="179" t="s">
        <v>162</v>
      </c>
      <c r="B65" s="179" t="s">
        <v>163</v>
      </c>
      <c r="C65" s="181">
        <v>802434.32</v>
      </c>
      <c r="D65" s="181">
        <v>140570.53</v>
      </c>
      <c r="E65" s="181">
        <v>943004.85</v>
      </c>
    </row>
    <row r="66" spans="1:5" x14ac:dyDescent="0.25">
      <c r="A66" s="182" t="s">
        <v>164</v>
      </c>
      <c r="B66" s="183"/>
      <c r="C66" s="184">
        <f>SUM(C62:C65)</f>
        <v>9689760.2600000016</v>
      </c>
      <c r="D66" s="184">
        <f>SUM(D62:D65)</f>
        <v>1429931.3199999998</v>
      </c>
      <c r="E66" s="184">
        <f>SUM(E62:E65)</f>
        <v>11119691.579999998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83916278.050000235</v>
      </c>
      <c r="D68" s="184">
        <f>D14+D20+D26+D32+D38+D44+D46+D54+D60+D66</f>
        <v>103507264.67000009</v>
      </c>
      <c r="E68" s="184">
        <f>E14+E20+E26+E32+E38+E44+E46+E54+E60+E66</f>
        <v>187423542.72000068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opLeftCell="A31" zoomScale="80" zoomScaleNormal="80" zoomScalePageLayoutView="80" workbookViewId="0">
      <selection activeCell="N60" sqref="N60"/>
    </sheetView>
  </sheetViews>
  <sheetFormatPr defaultColWidth="9.109375" defaultRowHeight="13.2" x14ac:dyDescent="0.25"/>
  <cols>
    <col min="1" max="1" width="63.44140625" style="260" customWidth="1"/>
    <col min="2" max="2" width="19.5546875" style="260" bestFit="1" customWidth="1"/>
    <col min="3" max="3" width="19.33203125" style="260" bestFit="1" customWidth="1"/>
    <col min="4" max="4" width="18" style="260" bestFit="1" customWidth="1"/>
    <col min="5" max="5" width="17.88671875" style="260" bestFit="1" customWidth="1"/>
    <col min="6" max="6" width="16.44140625" style="260" bestFit="1" customWidth="1"/>
    <col min="7" max="7" width="18.109375" style="260" bestFit="1" customWidth="1"/>
    <col min="8" max="8" width="18" style="260" hidden="1" customWidth="1"/>
    <col min="9" max="9" width="15" style="260" hidden="1" customWidth="1"/>
    <col min="10" max="10" width="3.6640625" style="260" customWidth="1"/>
    <col min="11" max="11" width="13.44140625" style="260" bestFit="1" customWidth="1"/>
    <col min="12" max="12" width="10.109375" style="260" bestFit="1" customWidth="1"/>
    <col min="13" max="16384" width="9.109375" style="260"/>
  </cols>
  <sheetData>
    <row r="1" spans="1:10" x14ac:dyDescent="0.25">
      <c r="A1" s="257" t="s">
        <v>221</v>
      </c>
      <c r="B1" s="258">
        <v>0.2571</v>
      </c>
      <c r="C1" s="258">
        <v>0.54059999999999997</v>
      </c>
      <c r="D1" s="258">
        <v>0.17710000000000001</v>
      </c>
      <c r="E1" s="258">
        <v>2.52E-2</v>
      </c>
      <c r="F1" s="258">
        <f>'[9]May 2010 Bank rec'!I3</f>
        <v>0</v>
      </c>
      <c r="G1" s="259">
        <f>SUM(B1:F1)</f>
        <v>1</v>
      </c>
    </row>
    <row r="2" spans="1:10" x14ac:dyDescent="0.25">
      <c r="A2" s="261">
        <f>'[9]May 2010 Bank rec'!D4</f>
        <v>0</v>
      </c>
      <c r="B2" s="258">
        <f>'[9]May 2010 Bank rec'!E4</f>
        <v>0</v>
      </c>
      <c r="C2" s="258">
        <f>'[9]May 2010 Bank rec'!F4</f>
        <v>0</v>
      </c>
      <c r="D2" s="258">
        <f>'[9]May 2010 Bank rec'!G4</f>
        <v>0</v>
      </c>
      <c r="E2" s="258">
        <f>'[9]May 2010 Bank rec'!H4</f>
        <v>0</v>
      </c>
      <c r="F2" s="258">
        <f>'[9]May 2010 Bank rec'!I4</f>
        <v>0</v>
      </c>
      <c r="G2" s="259">
        <f>SUM(B2:F2)</f>
        <v>0</v>
      </c>
    </row>
    <row r="3" spans="1:10" x14ac:dyDescent="0.25">
      <c r="A3" s="262"/>
      <c r="B3" s="263" t="s">
        <v>222</v>
      </c>
      <c r="C3" s="263" t="s">
        <v>223</v>
      </c>
      <c r="D3" s="263" t="s">
        <v>224</v>
      </c>
      <c r="E3" s="264" t="s">
        <v>225</v>
      </c>
      <c r="F3" s="264" t="s">
        <v>226</v>
      </c>
      <c r="G3" s="265" t="s">
        <v>6</v>
      </c>
    </row>
    <row r="4" spans="1:10" x14ac:dyDescent="0.25">
      <c r="A4" s="266" t="s">
        <v>227</v>
      </c>
      <c r="B4" s="267">
        <v>5099454244.6161947</v>
      </c>
      <c r="C4" s="267">
        <v>49502961.721192561</v>
      </c>
      <c r="D4" s="267">
        <v>63769179.869993076</v>
      </c>
      <c r="E4" s="267">
        <v>444728530.4626199</v>
      </c>
      <c r="F4" s="268">
        <v>0</v>
      </c>
      <c r="G4" s="267">
        <f>ROUND(SUM(B4:F4),2)</f>
        <v>5657454916.6700001</v>
      </c>
      <c r="J4" s="269"/>
    </row>
    <row r="5" spans="1:10" s="273" customFormat="1" x14ac:dyDescent="0.25">
      <c r="A5" s="270"/>
      <c r="B5" s="271"/>
      <c r="C5" s="271"/>
      <c r="D5" s="271"/>
      <c r="E5" s="271"/>
      <c r="F5" s="271"/>
      <c r="G5" s="272"/>
      <c r="J5" s="274"/>
    </row>
    <row r="6" spans="1:10" x14ac:dyDescent="0.25">
      <c r="A6" s="275" t="s">
        <v>228</v>
      </c>
      <c r="B6" s="276"/>
      <c r="C6" s="276"/>
      <c r="D6" s="276"/>
      <c r="E6" s="276"/>
      <c r="F6" s="276"/>
      <c r="G6" s="276"/>
    </row>
    <row r="7" spans="1:10" x14ac:dyDescent="0.25">
      <c r="A7" s="277" t="s">
        <v>229</v>
      </c>
      <c r="B7" s="278">
        <f>SUM('[9]May 2010 Bank rec'!E6:E7,'[9]May 2010 Bank rec'!E12:E13)</f>
        <v>185447324.05562699</v>
      </c>
      <c r="C7" s="278">
        <f>SUM('[9]May 2010 Bank rec'!F6:F7,'[9]May 2010 Bank rec'!F12:F13)</f>
        <v>389937080.45302194</v>
      </c>
      <c r="D7" s="278">
        <f>SUM('[9]May 2010 Bank rec'!G6:G7,'[9]May 2010 Bank rec'!G12:G13)</f>
        <v>127742983.62602699</v>
      </c>
      <c r="E7" s="278">
        <f>SUM('[9]May 2010 Bank rec'!H6:H7,'[9]May 2010 Bank rec'!H12:H13)</f>
        <v>18176867.235323995</v>
      </c>
      <c r="F7" s="279">
        <v>0</v>
      </c>
      <c r="G7" s="278">
        <f t="shared" ref="G7:G13" si="0">SUM(B7:F7)</f>
        <v>721304255.36999989</v>
      </c>
      <c r="H7" s="280"/>
      <c r="I7" s="280"/>
      <c r="J7" s="280"/>
    </row>
    <row r="8" spans="1:10" x14ac:dyDescent="0.25">
      <c r="A8" s="277" t="s">
        <v>230</v>
      </c>
      <c r="B8" s="281">
        <f>-SUM($F$8*B2)</f>
        <v>0</v>
      </c>
      <c r="C8" s="281">
        <f>-SUM($F$8*C2)</f>
        <v>0</v>
      </c>
      <c r="D8" s="281">
        <f>-SUM($F$8*D2)</f>
        <v>0</v>
      </c>
      <c r="E8" s="281">
        <f>-SUM($F$8*E2)</f>
        <v>0</v>
      </c>
      <c r="F8" s="281">
        <v>0</v>
      </c>
      <c r="G8" s="281">
        <f>SUM(B8:F8)</f>
        <v>0</v>
      </c>
      <c r="H8" s="280"/>
      <c r="I8" s="280"/>
      <c r="J8" s="280"/>
    </row>
    <row r="9" spans="1:10" ht="14.25" customHeight="1" x14ac:dyDescent="0.25">
      <c r="A9" s="281" t="str">
        <f>'[9]May 2010 Bank rec'!D9</f>
        <v>Reverse Consistent Pymt -Current Period Receipt</v>
      </c>
      <c r="B9" s="281">
        <f>'[9]May 2010 Bank rec'!E9</f>
        <v>0</v>
      </c>
      <c r="C9" s="281">
        <f>'[9]May 2010 Bank rec'!F9</f>
        <v>0</v>
      </c>
      <c r="D9" s="281">
        <f>'[9]May 2010 Bank rec'!G9</f>
        <v>0</v>
      </c>
      <c r="E9" s="281">
        <f>'[9]May 2010 Bank rec'!H9</f>
        <v>0</v>
      </c>
      <c r="F9" s="281">
        <v>0</v>
      </c>
      <c r="G9" s="281">
        <f t="shared" si="0"/>
        <v>0</v>
      </c>
      <c r="H9" s="280"/>
      <c r="I9" s="280"/>
      <c r="J9" s="280"/>
    </row>
    <row r="10" spans="1:10" x14ac:dyDescent="0.25">
      <c r="A10" s="277" t="s">
        <v>231</v>
      </c>
      <c r="B10" s="281">
        <f>+'[9]May 2010 Bank rec'!E8</f>
        <v>1929.7617479999999</v>
      </c>
      <c r="C10" s="281">
        <f>+'[9]May 2010 Bank rec'!F8</f>
        <v>4057.6787279999999</v>
      </c>
      <c r="D10" s="281">
        <f>+'[9]May 2010 Bank rec'!G8</f>
        <v>1329.291348</v>
      </c>
      <c r="E10" s="281">
        <f>+'[9]May 2010 Bank rec'!H8</f>
        <v>189.14817600000001</v>
      </c>
      <c r="F10" s="281">
        <v>0</v>
      </c>
      <c r="G10" s="281">
        <f>SUM(B10:F10)</f>
        <v>7505.8799999999992</v>
      </c>
      <c r="H10" s="280"/>
      <c r="I10" s="280"/>
      <c r="J10" s="280"/>
    </row>
    <row r="11" spans="1:10" x14ac:dyDescent="0.25">
      <c r="A11" s="282" t="s">
        <v>232</v>
      </c>
      <c r="B11" s="281">
        <f>('[9]May 2010 Bank rec'!I15+'[9]May 2010 Bank rec'!I22+'[9]May 2010 Bank rec'!I30)*'May 2010 Bank to 224'!$B$1</f>
        <v>-102642.24382199973</v>
      </c>
      <c r="C11" s="281">
        <f>+('[9]May 2010 Bank rec'!$I$15+'[9]May 2010 Bank rec'!$I$22+'[9]May 2010 Bank rec'!I30)*'May 2010 Bank to 224'!C1</f>
        <v>-215824.18129199941</v>
      </c>
      <c r="D11" s="281">
        <f>+('[9]May 2010 Bank rec'!$I$15+'[9]May 2010 Bank rec'!$I$22+'[9]May 2010 Bank rec'!I30)*'May 2010 Bank to 224'!D1</f>
        <v>-70703.778221999819</v>
      </c>
      <c r="E11" s="281">
        <f>+('[9]May 2010 Bank rec'!$I$15+'[9]May 2010 Bank rec'!$I$22+'[9]May 2010 Bank rec'!I30)*'May 2010 Bank to 224'!E1</f>
        <v>-10060.616663999974</v>
      </c>
      <c r="F11" s="281">
        <v>0</v>
      </c>
      <c r="G11" s="281">
        <f>SUM(B11:F11)</f>
        <v>-399230.81999999896</v>
      </c>
      <c r="H11" s="280"/>
      <c r="I11" s="280"/>
      <c r="J11" s="280"/>
    </row>
    <row r="12" spans="1:10" x14ac:dyDescent="0.25">
      <c r="A12" s="283" t="s">
        <v>233</v>
      </c>
      <c r="B12" s="281">
        <f>+'[9]May 2010 Bank rec'!E10</f>
        <v>-14555.225438999998</v>
      </c>
      <c r="C12" s="281">
        <f>+'[9]May 2010 Bank rec'!F10</f>
        <v>-30605.036453999997</v>
      </c>
      <c r="D12" s="281">
        <f>+'[9]May 2010 Bank rec'!G10</f>
        <v>-10026.178238999999</v>
      </c>
      <c r="E12" s="281">
        <f>+'[9]May 2010 Bank rec'!H10</f>
        <v>-1426.649868</v>
      </c>
      <c r="F12" s="281">
        <f>+'[9]May 2010 Bank rec'!I10</f>
        <v>0</v>
      </c>
      <c r="G12" s="281">
        <f t="shared" si="0"/>
        <v>-56613.09</v>
      </c>
      <c r="H12" s="280"/>
      <c r="I12" s="280"/>
      <c r="J12" s="280"/>
    </row>
    <row r="13" spans="1:10" x14ac:dyDescent="0.25">
      <c r="A13" s="283" t="s">
        <v>234</v>
      </c>
      <c r="B13" s="281">
        <f>'[9]May 2010 Bank rec'!E19</f>
        <v>115033.92134100001</v>
      </c>
      <c r="C13" s="281">
        <f>'[9]May 2010 Bank rec'!F19</f>
        <v>241879.96062599999</v>
      </c>
      <c r="D13" s="281">
        <f>'[9]May 2010 Bank rec'!G19</f>
        <v>79239.624541000012</v>
      </c>
      <c r="E13" s="281">
        <f>'[9]May 2010 Bank rec'!H19</f>
        <v>11275.203492000001</v>
      </c>
      <c r="F13" s="281">
        <f>'[9]May 2010 Bank rec'!I19</f>
        <v>0</v>
      </c>
      <c r="G13" s="281">
        <f t="shared" si="0"/>
        <v>447428.70999999996</v>
      </c>
      <c r="H13" s="284" t="s">
        <v>235</v>
      </c>
      <c r="I13" s="280"/>
      <c r="J13" s="280"/>
    </row>
    <row r="14" spans="1:10" x14ac:dyDescent="0.25">
      <c r="A14" s="283" t="s">
        <v>236</v>
      </c>
      <c r="B14" s="278">
        <f>'[9]May 2010 Bank rec'!E$74</f>
        <v>3376230.4382699998</v>
      </c>
      <c r="C14" s="278">
        <f>'[9]May 2010 Bank rec'!F$74</f>
        <v>7099144.9822199997</v>
      </c>
      <c r="D14" s="278">
        <f>'[9]May 2010 Bank rec'!G$74</f>
        <v>2325672.5422700001</v>
      </c>
      <c r="E14" s="278">
        <f>'[9]May 2010 Bank rec'!H$74</f>
        <v>330925.73723999999</v>
      </c>
      <c r="F14" s="278">
        <f>'[9]May 2010 Bank rec'!I$74</f>
        <v>0</v>
      </c>
      <c r="G14" s="278">
        <f>SUM(B14:F14)</f>
        <v>13131973.700000001</v>
      </c>
      <c r="H14" s="280"/>
      <c r="I14" s="280"/>
      <c r="J14" s="280"/>
    </row>
    <row r="15" spans="1:10" x14ac:dyDescent="0.25">
      <c r="A15" s="285"/>
      <c r="B15" s="278"/>
      <c r="C15" s="278"/>
      <c r="D15" s="278"/>
      <c r="E15" s="278"/>
      <c r="F15" s="278"/>
      <c r="G15" s="278"/>
      <c r="H15" s="280"/>
      <c r="I15" s="280"/>
      <c r="J15" s="280"/>
    </row>
    <row r="16" spans="1:10" s="287" customFormat="1" x14ac:dyDescent="0.25">
      <c r="A16" s="285"/>
      <c r="B16" s="278"/>
      <c r="C16" s="278"/>
      <c r="D16" s="278"/>
      <c r="E16" s="278"/>
      <c r="F16" s="278"/>
      <c r="G16" s="278"/>
      <c r="H16" s="286"/>
      <c r="I16" s="286"/>
      <c r="J16" s="286"/>
    </row>
    <row r="17" spans="1:12" x14ac:dyDescent="0.25">
      <c r="A17" s="285"/>
      <c r="B17" s="278"/>
      <c r="C17" s="278"/>
      <c r="D17" s="278"/>
      <c r="E17" s="278"/>
      <c r="F17" s="278"/>
      <c r="G17" s="278"/>
      <c r="H17" s="280"/>
      <c r="I17" s="280"/>
      <c r="J17" s="280"/>
    </row>
    <row r="18" spans="1:12" x14ac:dyDescent="0.25">
      <c r="A18" s="288"/>
      <c r="B18" s="272"/>
      <c r="C18" s="272"/>
      <c r="D18" s="272"/>
      <c r="E18" s="272"/>
      <c r="F18" s="272"/>
      <c r="G18" s="278"/>
      <c r="H18" s="280"/>
      <c r="I18" s="280"/>
      <c r="J18" s="280"/>
    </row>
    <row r="19" spans="1:12" s="287" customFormat="1" x14ac:dyDescent="0.25">
      <c r="A19" s="289"/>
      <c r="B19" s="282"/>
      <c r="C19" s="282"/>
      <c r="D19" s="282"/>
      <c r="E19" s="282"/>
      <c r="F19" s="282"/>
      <c r="G19" s="278"/>
      <c r="H19" s="286"/>
      <c r="I19" s="286"/>
      <c r="J19" s="286"/>
      <c r="L19" s="290"/>
    </row>
    <row r="20" spans="1:12" s="287" customFormat="1" x14ac:dyDescent="0.25">
      <c r="A20" s="278"/>
      <c r="B20" s="278"/>
      <c r="C20" s="278"/>
      <c r="D20" s="278"/>
      <c r="E20" s="278"/>
      <c r="F20" s="278"/>
      <c r="G20" s="278"/>
      <c r="H20" s="286"/>
      <c r="I20" s="286"/>
      <c r="J20" s="286"/>
    </row>
    <row r="21" spans="1:12" x14ac:dyDescent="0.25">
      <c r="A21" s="266" t="s">
        <v>237</v>
      </c>
      <c r="B21" s="267">
        <f>SUM(B7:B20)</f>
        <v>188823320.70772496</v>
      </c>
      <c r="C21" s="267">
        <f>SUM(C7:C20)</f>
        <v>397035733.85684991</v>
      </c>
      <c r="D21" s="267">
        <f>SUM(D7:D20)</f>
        <v>130068495.12772499</v>
      </c>
      <c r="E21" s="267">
        <f>SUM(E7:E20)</f>
        <v>18507770.057699997</v>
      </c>
      <c r="F21" s="267">
        <f>ROUND(SUM(F7:F20),2)</f>
        <v>0</v>
      </c>
      <c r="G21" s="267">
        <f>ROUND(SUM(G7:G20),2)</f>
        <v>734435319.75</v>
      </c>
      <c r="H21" s="276"/>
      <c r="I21" s="280"/>
      <c r="J21" s="280"/>
      <c r="L21" s="280"/>
    </row>
    <row r="22" spans="1:12" x14ac:dyDescent="0.25">
      <c r="A22" s="270"/>
      <c r="B22" s="272"/>
      <c r="C22" s="272"/>
      <c r="D22" s="272"/>
      <c r="E22" s="272"/>
      <c r="F22" s="272"/>
      <c r="G22" s="272"/>
      <c r="H22" s="284" t="s">
        <v>235</v>
      </c>
      <c r="I22" s="280"/>
      <c r="J22" s="280"/>
      <c r="K22" s="291"/>
    </row>
    <row r="23" spans="1:12" s="273" customFormat="1" x14ac:dyDescent="0.25">
      <c r="A23" s="275" t="s">
        <v>238</v>
      </c>
      <c r="B23" s="276"/>
      <c r="C23" s="276"/>
      <c r="D23" s="276"/>
      <c r="E23" s="276"/>
      <c r="F23" s="276"/>
      <c r="G23" s="276"/>
      <c r="H23" s="292"/>
      <c r="I23" s="293"/>
      <c r="J23" s="293"/>
    </row>
    <row r="24" spans="1:12" x14ac:dyDescent="0.25">
      <c r="A24" s="294"/>
      <c r="B24" s="294"/>
      <c r="C24" s="294"/>
      <c r="D24" s="294"/>
      <c r="E24" s="294"/>
      <c r="F24" s="294"/>
      <c r="G24" s="295"/>
      <c r="H24" s="296"/>
      <c r="I24" s="280"/>
      <c r="J24" s="280"/>
    </row>
    <row r="25" spans="1:12" x14ac:dyDescent="0.25">
      <c r="A25" s="277" t="s">
        <v>239</v>
      </c>
      <c r="B25" s="281">
        <f>'[9]May 2010 Bank rec'!E33</f>
        <v>-26314955.049999997</v>
      </c>
      <c r="C25" s="281">
        <f>'[9]May 2010 Bank rec'!F33</f>
        <v>-2279633.7400000002</v>
      </c>
      <c r="D25" s="281">
        <f>'[9]May 2010 Bank rec'!G33</f>
        <v>-492394</v>
      </c>
      <c r="E25" s="281">
        <f>'[9]May 2010 Bank rec'!H33</f>
        <v>-1454611.51</v>
      </c>
      <c r="F25" s="281">
        <f>'[9]May 2010 Bank rec'!I33</f>
        <v>0</v>
      </c>
      <c r="G25" s="281">
        <f>SUM(B25:F25)</f>
        <v>-30541594.300000001</v>
      </c>
      <c r="H25" s="296"/>
      <c r="I25" s="280"/>
      <c r="J25" s="280"/>
    </row>
    <row r="26" spans="1:12" x14ac:dyDescent="0.25">
      <c r="A26" s="297" t="s">
        <v>240</v>
      </c>
      <c r="B26" s="281">
        <f>'[9]May 2010 Bank rec'!E34</f>
        <v>-520</v>
      </c>
      <c r="C26" s="281">
        <f>'[9]May 2010 Bank rec'!F34</f>
        <v>-21331</v>
      </c>
      <c r="D26" s="281">
        <f>'[9]May 2010 Bank rec'!G34</f>
        <v>-291</v>
      </c>
      <c r="E26" s="281">
        <f>'[9]May 2010 Bank rec'!H34</f>
        <v>0</v>
      </c>
      <c r="F26" s="281">
        <f>'[9]May 2010 Bank rec'!I34</f>
        <v>0</v>
      </c>
      <c r="G26" s="281">
        <f>SUM(B26:F26)</f>
        <v>-22142</v>
      </c>
      <c r="H26" s="284" t="s">
        <v>235</v>
      </c>
      <c r="I26" s="280"/>
      <c r="J26" s="280"/>
    </row>
    <row r="27" spans="1:12" x14ac:dyDescent="0.25">
      <c r="A27" s="297" t="s">
        <v>241</v>
      </c>
      <c r="B27" s="281">
        <f>'[9]May 2010 Bank rec'!E35</f>
        <v>0</v>
      </c>
      <c r="C27" s="281">
        <f>'[9]May 2010 Bank rec'!F35</f>
        <v>0</v>
      </c>
      <c r="D27" s="281">
        <f>'[9]May 2010 Bank rec'!G35</f>
        <v>0</v>
      </c>
      <c r="E27" s="281">
        <f>'[9]May 2010 Bank rec'!H35</f>
        <v>0</v>
      </c>
      <c r="F27" s="281">
        <f>'[9]May 2010 Bank rec'!I35</f>
        <v>0</v>
      </c>
      <c r="G27" s="281">
        <f>SUM(B27:F27)</f>
        <v>0</v>
      </c>
      <c r="H27" s="284"/>
      <c r="I27" s="280"/>
      <c r="J27" s="280"/>
    </row>
    <row r="28" spans="1:12" x14ac:dyDescent="0.25">
      <c r="A28" s="297" t="s">
        <v>242</v>
      </c>
      <c r="B28" s="281">
        <f>'[9]May 2010 Bank rec'!E36</f>
        <v>-82822.8</v>
      </c>
      <c r="C28" s="281">
        <f>'[9]May 2010 Bank rec'!F36</f>
        <v>0</v>
      </c>
      <c r="D28" s="281">
        <f>'[9]May 2010 Bank rec'!G36</f>
        <v>0</v>
      </c>
      <c r="E28" s="281">
        <f>'[9]May 2010 Bank rec'!H36</f>
        <v>0</v>
      </c>
      <c r="F28" s="281">
        <f>'[9]May 2010 Bank rec'!I36</f>
        <v>0</v>
      </c>
      <c r="G28" s="281">
        <f>SUM(B28:F28)</f>
        <v>-82822.8</v>
      </c>
      <c r="H28" s="284"/>
      <c r="I28" s="280"/>
      <c r="J28" s="280"/>
    </row>
    <row r="29" spans="1:12" x14ac:dyDescent="0.25">
      <c r="A29" s="273" t="s">
        <v>243</v>
      </c>
      <c r="B29" s="281">
        <f>'[9]May 2010 Bank rec'!E37</f>
        <v>0</v>
      </c>
      <c r="C29" s="281">
        <f>'[9]May 2010 Bank rec'!F37</f>
        <v>0</v>
      </c>
      <c r="D29" s="281">
        <f>'[9]May 2010 Bank rec'!G37</f>
        <v>0</v>
      </c>
      <c r="E29" s="281">
        <f>'[9]May 2010 Bank rec'!H37</f>
        <v>0</v>
      </c>
      <c r="F29" s="281">
        <f>'[9]May 2010 Bank rec'!I37</f>
        <v>0</v>
      </c>
      <c r="G29" s="281">
        <f>SUM(B29:F29)</f>
        <v>0</v>
      </c>
      <c r="H29" s="284" t="s">
        <v>235</v>
      </c>
      <c r="I29" s="280"/>
      <c r="J29" s="280"/>
    </row>
    <row r="30" spans="1:12" x14ac:dyDescent="0.25">
      <c r="A30" s="277" t="s">
        <v>244</v>
      </c>
      <c r="B30" s="281">
        <f>'[9]May 2010 Bank rec'!E40</f>
        <v>-148293830.97999999</v>
      </c>
      <c r="C30" s="281">
        <f>'[9]May 2010 Bank rec'!F40</f>
        <v>-336900840.95999998</v>
      </c>
      <c r="D30" s="281">
        <f>'[9]May 2010 Bank rec'!G40</f>
        <v>-110105387.64</v>
      </c>
      <c r="E30" s="281">
        <f>'[9]May 2010 Bank rec'!H40</f>
        <v>-2842949.0300000003</v>
      </c>
      <c r="F30" s="281">
        <f>'[9]May 2010 Bank rec'!I40</f>
        <v>0</v>
      </c>
      <c r="G30" s="281">
        <f t="shared" ref="G30:G48" si="1">SUM(B30:F30)</f>
        <v>-598143008.6099999</v>
      </c>
      <c r="H30" s="284" t="s">
        <v>235</v>
      </c>
      <c r="I30" s="280"/>
      <c r="J30" s="280"/>
    </row>
    <row r="31" spans="1:12" x14ac:dyDescent="0.25">
      <c r="A31" s="297" t="s">
        <v>245</v>
      </c>
      <c r="B31" s="281">
        <f>'[9]May 2010 Bank rec'!E41</f>
        <v>-514032.77</v>
      </c>
      <c r="C31" s="281">
        <f>'[9]May 2010 Bank rec'!F41</f>
        <v>-343492.11</v>
      </c>
      <c r="D31" s="281">
        <f>'[9]May 2010 Bank rec'!G41</f>
        <v>-262475.87</v>
      </c>
      <c r="E31" s="281">
        <f>'[9]May 2010 Bank rec'!H41</f>
        <v>0</v>
      </c>
      <c r="F31" s="281">
        <f>'[9]May 2010 Bank rec'!I41</f>
        <v>0</v>
      </c>
      <c r="G31" s="281">
        <f t="shared" si="1"/>
        <v>-1120000.75</v>
      </c>
      <c r="H31" s="280"/>
      <c r="I31" s="280"/>
      <c r="J31" s="280"/>
    </row>
    <row r="32" spans="1:12" ht="14.25" customHeight="1" x14ac:dyDescent="0.25">
      <c r="A32" s="297" t="s">
        <v>241</v>
      </c>
      <c r="B32" s="281">
        <f>'[9]May 2010 Bank rec'!E42</f>
        <v>-173.65</v>
      </c>
      <c r="C32" s="281">
        <f>'[9]May 2010 Bank rec'!F42</f>
        <v>0</v>
      </c>
      <c r="D32" s="281">
        <f>'[9]May 2010 Bank rec'!G42</f>
        <v>0</v>
      </c>
      <c r="E32" s="281">
        <f>'[9]May 2010 Bank rec'!H42</f>
        <v>0</v>
      </c>
      <c r="F32" s="281">
        <f>'[9]May 2010 Bank rec'!I42</f>
        <v>0</v>
      </c>
      <c r="G32" s="281">
        <f t="shared" si="1"/>
        <v>-173.65</v>
      </c>
      <c r="H32" s="284" t="s">
        <v>235</v>
      </c>
      <c r="I32" s="280"/>
      <c r="J32" s="280"/>
    </row>
    <row r="33" spans="1:10" ht="14.25" customHeight="1" x14ac:dyDescent="0.25">
      <c r="A33" s="297" t="s">
        <v>242</v>
      </c>
      <c r="B33" s="281">
        <f>'[9]May 2010 Bank rec'!E43</f>
        <v>-729014.81</v>
      </c>
      <c r="C33" s="281">
        <f>'[9]May 2010 Bank rec'!F43</f>
        <v>0</v>
      </c>
      <c r="D33" s="281">
        <f>'[9]May 2010 Bank rec'!G43</f>
        <v>0</v>
      </c>
      <c r="E33" s="281">
        <f>'[9]May 2010 Bank rec'!H43</f>
        <v>-760.39</v>
      </c>
      <c r="F33" s="281">
        <f>'[9]May 2010 Bank rec'!I43</f>
        <v>0</v>
      </c>
      <c r="G33" s="281">
        <f t="shared" si="1"/>
        <v>-729775.20000000007</v>
      </c>
      <c r="H33" s="284"/>
      <c r="I33" s="280"/>
      <c r="J33" s="280"/>
    </row>
    <row r="34" spans="1:10" ht="14.25" customHeight="1" x14ac:dyDescent="0.25">
      <c r="A34" s="273" t="s">
        <v>246</v>
      </c>
      <c r="B34" s="281">
        <f>'[9]May 2010 Bank rec'!E44</f>
        <v>-89885.574288000003</v>
      </c>
      <c r="C34" s="281">
        <f>'[9]May 2010 Bank rec'!F44</f>
        <v>-189000.93916800001</v>
      </c>
      <c r="D34" s="281">
        <f>'[9]May 2010 Bank rec'!G44</f>
        <v>-61916.511888000008</v>
      </c>
      <c r="E34" s="281">
        <f>'[9]May 2010 Bank rec'!H44</f>
        <v>-8810.254656000001</v>
      </c>
      <c r="F34" s="281">
        <f>'[9]May 2010 Bank rec'!I56</f>
        <v>0</v>
      </c>
      <c r="G34" s="281">
        <f t="shared" si="1"/>
        <v>-349613.28</v>
      </c>
      <c r="H34" s="284"/>
      <c r="I34" s="280"/>
      <c r="J34" s="280"/>
    </row>
    <row r="35" spans="1:10" s="300" customFormat="1" ht="14.25" customHeight="1" x14ac:dyDescent="0.25">
      <c r="A35" s="298" t="s">
        <v>247</v>
      </c>
      <c r="B35" s="281">
        <f>'[9]May 2010 Bank rec'!E47</f>
        <v>181066.37</v>
      </c>
      <c r="C35" s="281">
        <f>'[9]May 2010 Bank rec'!F47</f>
        <v>0</v>
      </c>
      <c r="D35" s="281">
        <f>'[9]May 2010 Bank rec'!G47</f>
        <v>0</v>
      </c>
      <c r="E35" s="281">
        <f>'[9]May 2010 Bank rec'!H47</f>
        <v>0</v>
      </c>
      <c r="F35" s="281">
        <f>'[9]May 2010 Bank rec'!I47</f>
        <v>0</v>
      </c>
      <c r="G35" s="281">
        <f t="shared" si="1"/>
        <v>181066.37</v>
      </c>
      <c r="H35" s="299"/>
      <c r="I35" s="294"/>
      <c r="J35" s="294"/>
    </row>
    <row r="36" spans="1:10" ht="14.25" customHeight="1" x14ac:dyDescent="0.25">
      <c r="A36" s="298" t="s">
        <v>248</v>
      </c>
      <c r="B36" s="281">
        <f>'[9]May 2010 Bank rec'!E48</f>
        <v>152593.26</v>
      </c>
      <c r="C36" s="281">
        <f>'[9]May 2010 Bank rec'!F48</f>
        <v>0</v>
      </c>
      <c r="D36" s="281">
        <f>'[9]May 2010 Bank rec'!G48</f>
        <v>27469</v>
      </c>
      <c r="E36" s="281">
        <f>'[9]May 2010 Bank rec'!H48</f>
        <v>552</v>
      </c>
      <c r="F36" s="281">
        <f>'[9]May 2010 Bank rec'!I48</f>
        <v>0</v>
      </c>
      <c r="G36" s="281">
        <f t="shared" si="1"/>
        <v>180614.26</v>
      </c>
      <c r="H36" s="284"/>
      <c r="I36" s="280"/>
      <c r="J36" s="280"/>
    </row>
    <row r="37" spans="1:10" x14ac:dyDescent="0.25">
      <c r="A37" s="298" t="s">
        <v>249</v>
      </c>
      <c r="B37" s="281">
        <f>'[9]May 2010 Bank rec'!E49</f>
        <v>0</v>
      </c>
      <c r="C37" s="281">
        <f>'[9]May 2010 Bank rec'!F49</f>
        <v>0</v>
      </c>
      <c r="D37" s="281">
        <f>'[9]May 2010 Bank rec'!G49</f>
        <v>0</v>
      </c>
      <c r="E37" s="281">
        <f>'[9]May 2010 Bank rec'!H49</f>
        <v>0</v>
      </c>
      <c r="F37" s="281">
        <f>'[9]May 2010 Bank rec'!I49</f>
        <v>0</v>
      </c>
      <c r="G37" s="281">
        <f t="shared" si="1"/>
        <v>0</v>
      </c>
      <c r="H37" s="284" t="s">
        <v>235</v>
      </c>
      <c r="I37" s="280"/>
      <c r="J37" s="280"/>
    </row>
    <row r="38" spans="1:10" x14ac:dyDescent="0.25">
      <c r="A38" s="277" t="s">
        <v>250</v>
      </c>
      <c r="B38" s="281">
        <f>'[9]May 2010 Bank rec'!E50</f>
        <v>0</v>
      </c>
      <c r="C38" s="281">
        <f>'[9]May 2010 Bank rec'!F50</f>
        <v>0</v>
      </c>
      <c r="D38" s="281">
        <f>'[9]May 2010 Bank rec'!G50</f>
        <v>0</v>
      </c>
      <c r="E38" s="281">
        <f>'[9]May 2010 Bank rec'!H50</f>
        <v>0</v>
      </c>
      <c r="F38" s="281">
        <f>'[9]May 2010 Bank rec'!I50</f>
        <v>0</v>
      </c>
      <c r="G38" s="281">
        <f t="shared" si="1"/>
        <v>0</v>
      </c>
      <c r="H38" s="284" t="s">
        <v>235</v>
      </c>
      <c r="I38" s="280"/>
      <c r="J38" s="280"/>
    </row>
    <row r="39" spans="1:10" x14ac:dyDescent="0.25">
      <c r="A39" s="301" t="s">
        <v>251</v>
      </c>
      <c r="B39" s="281">
        <f>'[9]May 2010 Bank rec'!E51</f>
        <v>0</v>
      </c>
      <c r="C39" s="281">
        <f>'[9]May 2010 Bank rec'!F51</f>
        <v>0</v>
      </c>
      <c r="D39" s="281">
        <f>'[9]May 2010 Bank rec'!G51</f>
        <v>0</v>
      </c>
      <c r="E39" s="281">
        <f>'[9]May 2010 Bank rec'!H51</f>
        <v>0</v>
      </c>
      <c r="F39" s="281">
        <f>'[9]May 2010 Bank rec'!I51</f>
        <v>0</v>
      </c>
      <c r="G39" s="281">
        <f t="shared" si="1"/>
        <v>0</v>
      </c>
      <c r="H39" s="284"/>
      <c r="I39" s="280"/>
      <c r="J39" s="280"/>
    </row>
    <row r="40" spans="1:10" x14ac:dyDescent="0.25">
      <c r="A40" s="301" t="s">
        <v>252</v>
      </c>
      <c r="B40" s="281">
        <f>'[9]May 2010 Bank rec'!E52</f>
        <v>0</v>
      </c>
      <c r="C40" s="281">
        <f>'[9]May 2010 Bank rec'!F52</f>
        <v>0</v>
      </c>
      <c r="D40" s="281">
        <f>'[9]May 2010 Bank rec'!G52</f>
        <v>0</v>
      </c>
      <c r="E40" s="281">
        <f>'[9]May 2010 Bank rec'!H52</f>
        <v>0</v>
      </c>
      <c r="F40" s="281">
        <f>'[9]May 2010 Bank rec'!I52</f>
        <v>0</v>
      </c>
      <c r="G40" s="281">
        <f t="shared" si="1"/>
        <v>0</v>
      </c>
      <c r="H40" s="284" t="s">
        <v>235</v>
      </c>
      <c r="I40" s="280"/>
      <c r="J40" s="280"/>
    </row>
    <row r="41" spans="1:10" x14ac:dyDescent="0.25">
      <c r="A41" s="273" t="s">
        <v>253</v>
      </c>
      <c r="B41" s="281">
        <f>'[9]May 2010 Bank rec'!E55</f>
        <v>486726.9200000001</v>
      </c>
      <c r="C41" s="281">
        <f>'[9]May 2010 Bank rec'!F55</f>
        <v>0</v>
      </c>
      <c r="D41" s="281">
        <f>'[9]May 2010 Bank rec'!G55</f>
        <v>1665</v>
      </c>
      <c r="E41" s="281">
        <f>'[9]May 2010 Bank rec'!H55</f>
        <v>0</v>
      </c>
      <c r="F41" s="281">
        <f>'[9]May 2010 Bank rec'!I54</f>
        <v>0</v>
      </c>
      <c r="G41" s="281">
        <f>SUM(B41:F41)</f>
        <v>488391.9200000001</v>
      </c>
      <c r="H41" s="284"/>
      <c r="I41" s="280"/>
      <c r="J41" s="280"/>
    </row>
    <row r="42" spans="1:10" x14ac:dyDescent="0.25">
      <c r="A42" s="293" t="s">
        <v>254</v>
      </c>
      <c r="B42" s="278">
        <f>'[9]May 2010 Bank rec'!E57</f>
        <v>-2788.9076759999998</v>
      </c>
      <c r="C42" s="278">
        <f>'[9]May 2010 Bank rec'!F57</f>
        <v>-5864.1909359999991</v>
      </c>
      <c r="D42" s="278">
        <f>'[9]May 2010 Bank rec'!G57</f>
        <v>-1921.1028759999999</v>
      </c>
      <c r="E42" s="278">
        <f>'[9]May 2010 Bank rec'!H57</f>
        <v>-273.35851199999996</v>
      </c>
      <c r="F42" s="278">
        <f>'[9]May 2010 Bank rec'!I56</f>
        <v>0</v>
      </c>
      <c r="G42" s="281">
        <f>SUM(B42:F42)</f>
        <v>-10847.56</v>
      </c>
      <c r="H42" s="284"/>
      <c r="I42" s="280"/>
      <c r="J42" s="280"/>
    </row>
    <row r="43" spans="1:10" x14ac:dyDescent="0.25">
      <c r="A43" s="293" t="s">
        <v>255</v>
      </c>
      <c r="B43" s="293">
        <v>0</v>
      </c>
      <c r="C43" s="281">
        <v>0</v>
      </c>
      <c r="D43" s="281">
        <v>0</v>
      </c>
      <c r="E43" s="281">
        <v>0</v>
      </c>
      <c r="F43" s="281">
        <f>'[9]May 2010 Bank rec'!I67</f>
        <v>0</v>
      </c>
      <c r="G43" s="281">
        <f>SUM(B43:F43)</f>
        <v>0</v>
      </c>
      <c r="H43" s="284"/>
      <c r="I43" s="280"/>
      <c r="J43" s="280"/>
    </row>
    <row r="44" spans="1:10" s="273" customFormat="1" x14ac:dyDescent="0.25">
      <c r="A44" s="293" t="str">
        <f>'[9]May 2010 Bank rec'!D67</f>
        <v>Admin Transfer to USAC</v>
      </c>
      <c r="B44" s="293">
        <f>'[9]May 2010 Bank rec'!E67</f>
        <v>-2571000</v>
      </c>
      <c r="C44" s="293">
        <f>'[9]May 2010 Bank rec'!F67</f>
        <v>-5406000</v>
      </c>
      <c r="D44" s="293">
        <f>'[9]May 2010 Bank rec'!G67</f>
        <v>-1771000</v>
      </c>
      <c r="E44" s="293">
        <f>'[9]May 2010 Bank rec'!H67</f>
        <v>-252000</v>
      </c>
      <c r="F44" s="281">
        <f>'[9]May 2010 Bank rec'!I68</f>
        <v>0</v>
      </c>
      <c r="G44" s="281">
        <f>SUM(B44:F44)</f>
        <v>-10000000</v>
      </c>
      <c r="H44" s="302"/>
      <c r="I44" s="293"/>
      <c r="J44" s="293"/>
    </row>
    <row r="45" spans="1:10" x14ac:dyDescent="0.25">
      <c r="A45" s="277" t="s">
        <v>256</v>
      </c>
      <c r="B45" s="281">
        <f>'[9]May 2010 Bank rec'!E73</f>
        <v>-10847629.610000001</v>
      </c>
      <c r="C45" s="281">
        <f>'[9]May 2010 Bank rec'!F73</f>
        <v>-102215.03999999999</v>
      </c>
      <c r="D45" s="281">
        <f>'[9]May 2010 Bank rec'!G73</f>
        <v>-56013.340000000004</v>
      </c>
      <c r="E45" s="281">
        <f>'[9]May 2010 Bank rec'!H73</f>
        <v>-2126115.7099999995</v>
      </c>
      <c r="F45" s="281">
        <f>'[9]May 2010 Bank rec'!I73</f>
        <v>0</v>
      </c>
      <c r="G45" s="281">
        <f>SUM(B45:F45)</f>
        <v>-13131973.699999999</v>
      </c>
      <c r="H45" s="284"/>
      <c r="I45" s="280"/>
      <c r="J45" s="280"/>
    </row>
    <row r="46" spans="1:10" x14ac:dyDescent="0.25">
      <c r="A46" s="283" t="s">
        <v>257</v>
      </c>
      <c r="B46" s="281">
        <f>'[9]May 2010 Bank rec'!E16</f>
        <v>0</v>
      </c>
      <c r="C46" s="281">
        <f>'[9]May 2010 Bank rec'!F16</f>
        <v>865609</v>
      </c>
      <c r="D46" s="281">
        <f>'[9]May 2010 Bank rec'!G16</f>
        <v>20</v>
      </c>
      <c r="E46" s="281">
        <f>'[9]May 2010 Bank rec'!H16</f>
        <v>0</v>
      </c>
      <c r="F46" s="281">
        <v>0</v>
      </c>
      <c r="G46" s="281">
        <f t="shared" si="1"/>
        <v>865629</v>
      </c>
      <c r="H46" s="284"/>
      <c r="I46" s="280"/>
      <c r="J46" s="280"/>
    </row>
    <row r="47" spans="1:10" x14ac:dyDescent="0.25">
      <c r="A47" s="277" t="s">
        <v>258</v>
      </c>
      <c r="B47" s="281">
        <f>'[9]May 2010 Bank rec'!E17</f>
        <v>2741105.2699999996</v>
      </c>
      <c r="C47" s="281">
        <f>'[9]May 2010 Bank rec'!F17</f>
        <v>0</v>
      </c>
      <c r="D47" s="281">
        <f>'[9]May 2010 Bank rec'!G17</f>
        <v>0</v>
      </c>
      <c r="E47" s="281">
        <f>'[9]May 2010 Bank rec'!H17</f>
        <v>8930.0400000000009</v>
      </c>
      <c r="F47" s="281">
        <v>0</v>
      </c>
      <c r="G47" s="281">
        <f t="shared" si="1"/>
        <v>2750035.3099999996</v>
      </c>
      <c r="H47" s="284"/>
      <c r="I47" s="280"/>
      <c r="J47" s="280"/>
    </row>
    <row r="48" spans="1:10" x14ac:dyDescent="0.25">
      <c r="A48" s="277" t="s">
        <v>259</v>
      </c>
      <c r="B48" s="281">
        <f>'[9]May 2010 Bank rec'!E18</f>
        <v>94544.89</v>
      </c>
      <c r="C48" s="281">
        <f>'[9]May 2010 Bank rec'!F18</f>
        <v>0</v>
      </c>
      <c r="D48" s="281">
        <f>'[9]May 2010 Bank rec'!G18</f>
        <v>0</v>
      </c>
      <c r="E48" s="281">
        <f>'[9]May 2010 Bank rec'!H18</f>
        <v>0</v>
      </c>
      <c r="F48" s="281">
        <v>0</v>
      </c>
      <c r="G48" s="281">
        <f t="shared" si="1"/>
        <v>94544.89</v>
      </c>
      <c r="H48" s="284"/>
      <c r="I48" s="280"/>
      <c r="J48" s="280"/>
    </row>
    <row r="49" spans="1:14" x14ac:dyDescent="0.25">
      <c r="A49" s="278" t="str">
        <f>'[9]May 2010 Bank rec'!D24</f>
        <v>Exception Payments Returned Funds to SP Prior Periods</v>
      </c>
      <c r="B49" s="278">
        <f>'[9]May 2010 Bank rec'!E24</f>
        <v>117159.105046</v>
      </c>
      <c r="C49" s="278">
        <f>'[9]May 2010 Bank rec'!F24</f>
        <v>198585.225756</v>
      </c>
      <c r="D49" s="278">
        <f>'[9]May 2010 Bank rec'!G24</f>
        <v>65056.314246000002</v>
      </c>
      <c r="E49" s="278">
        <f>'[9]May 2010 Bank rec'!H24</f>
        <v>9257.0249519999998</v>
      </c>
      <c r="F49" s="295">
        <f>'[9]May 2010 Bank rec'!I57</f>
        <v>0</v>
      </c>
      <c r="G49" s="278">
        <f>SUM(B49:F49)</f>
        <v>390057.67000000004</v>
      </c>
      <c r="H49" s="280"/>
      <c r="I49" s="280"/>
      <c r="J49" s="280"/>
    </row>
    <row r="50" spans="1:14" x14ac:dyDescent="0.25">
      <c r="A50" s="278" t="str">
        <f>'[9]May 2010 Bank rec'!D25</f>
        <v>Returned funds-Prior Period</v>
      </c>
      <c r="B50" s="278">
        <f>'[9]May 2010 Bank rec'!E25</f>
        <v>29405.23</v>
      </c>
      <c r="C50" s="278">
        <f>'[9]May 2010 Bank rec'!F25</f>
        <v>0</v>
      </c>
      <c r="D50" s="278">
        <f>'[9]May 2010 Bank rec'!G25</f>
        <v>0</v>
      </c>
      <c r="E50" s="278">
        <f>'[9]May 2010 Bank rec'!H25</f>
        <v>0</v>
      </c>
      <c r="F50" s="278">
        <v>0</v>
      </c>
      <c r="G50" s="281">
        <f>SUM(B50:F50)</f>
        <v>29405.23</v>
      </c>
      <c r="H50" s="284"/>
      <c r="I50" s="280"/>
      <c r="J50" s="280"/>
    </row>
    <row r="51" spans="1:14" x14ac:dyDescent="0.25">
      <c r="A51" s="278" t="str">
        <f>'[9]May 2010 Bank rec'!D26</f>
        <v>USF-USAC Transfer Prior Period</v>
      </c>
      <c r="B51" s="303">
        <f>'[9]May 2010 Bank rec'!E26</f>
        <v>2748.1264740000001</v>
      </c>
      <c r="C51" s="303">
        <f>'[9]May 2010 Bank rec'!F26</f>
        <v>5778.4409640000003</v>
      </c>
      <c r="D51" s="303">
        <f>'[9]May 2010 Bank rec'!G26</f>
        <v>1893.0112740000002</v>
      </c>
      <c r="E51" s="303">
        <f>'[9]May 2010 Bank rec'!H26</f>
        <v>269.361288</v>
      </c>
      <c r="F51" s="303">
        <v>0</v>
      </c>
      <c r="G51" s="281">
        <f>SUM(B51:F51)</f>
        <v>10688.94</v>
      </c>
      <c r="H51" s="280"/>
      <c r="I51" s="280"/>
      <c r="J51" s="280"/>
    </row>
    <row r="52" spans="1:14" x14ac:dyDescent="0.25">
      <c r="A52" s="281" t="str">
        <f>'[9]May 2010 Bank rec'!D27</f>
        <v>Legal Settlement - Enforcement Returned Funds</v>
      </c>
      <c r="B52" s="281">
        <f>'[9]May 2010 Bank rec'!E27</f>
        <v>1055.83</v>
      </c>
      <c r="C52" s="281">
        <f>'[9]May 2010 Bank rec'!F27</f>
        <v>0</v>
      </c>
      <c r="D52" s="281">
        <f>'[9]May 2010 Bank rec'!G27</f>
        <v>0</v>
      </c>
      <c r="E52" s="281">
        <f>'[9]May 2010 Bank rec'!H27</f>
        <v>0</v>
      </c>
      <c r="F52" s="281">
        <v>0</v>
      </c>
      <c r="G52" s="281">
        <f>SUM(B52:F52)</f>
        <v>1055.83</v>
      </c>
      <c r="H52" s="280"/>
      <c r="I52" s="280"/>
      <c r="J52" s="280"/>
    </row>
    <row r="53" spans="1:14" x14ac:dyDescent="0.25">
      <c r="A53" s="266" t="s">
        <v>260</v>
      </c>
      <c r="B53" s="267">
        <f>SUM(B24:B52)</f>
        <v>-185640249.15044406</v>
      </c>
      <c r="C53" s="267">
        <f>SUM(C24:C52)</f>
        <v>-344178405.31338406</v>
      </c>
      <c r="D53" s="267">
        <f>SUM(D24:D52)</f>
        <v>-112655296.13924401</v>
      </c>
      <c r="E53" s="267">
        <f>SUM(E24:E52)</f>
        <v>-6666511.826928</v>
      </c>
      <c r="F53" s="267">
        <f>ROUND(SUM(F24:F52),2)</f>
        <v>0</v>
      </c>
      <c r="G53" s="267">
        <f>ROUND(SUM(G24:G52),2)</f>
        <v>-649140462.42999995</v>
      </c>
      <c r="H53" s="280"/>
      <c r="I53" s="280"/>
      <c r="J53" s="280"/>
      <c r="L53" s="280"/>
    </row>
    <row r="54" spans="1:14" x14ac:dyDescent="0.25">
      <c r="A54" s="270"/>
      <c r="B54" s="272"/>
      <c r="C54" s="272"/>
      <c r="D54" s="272"/>
      <c r="E54" s="272"/>
      <c r="F54" s="272"/>
      <c r="G54" s="272"/>
      <c r="H54" s="292"/>
      <c r="I54" s="293"/>
      <c r="J54" s="280"/>
    </row>
    <row r="55" spans="1:14" s="273" customFormat="1" x14ac:dyDescent="0.25">
      <c r="A55" s="270" t="s">
        <v>261</v>
      </c>
      <c r="B55" s="276"/>
      <c r="C55" s="276"/>
      <c r="D55" s="276"/>
      <c r="E55" s="276"/>
      <c r="F55" s="276"/>
      <c r="G55" s="276"/>
      <c r="H55" s="292"/>
      <c r="I55" s="293"/>
      <c r="J55" s="293"/>
      <c r="K55" s="304"/>
    </row>
    <row r="56" spans="1:14" s="273" customFormat="1" x14ac:dyDescent="0.25">
      <c r="A56" s="277" t="s">
        <v>262</v>
      </c>
      <c r="B56" s="281">
        <f>SUM('[9]May 2010 Bank rec'!E78:E79)</f>
        <v>779028.05929166358</v>
      </c>
      <c r="C56" s="281">
        <f>SUM('[9]May 2010 Bank rec'!F78:F79)</f>
        <v>15440.875754334211</v>
      </c>
      <c r="D56" s="281">
        <f>SUM('[9]May 2010 Bank rec'!G78:G79)</f>
        <v>14801.968882521274</v>
      </c>
      <c r="E56" s="281">
        <f>SUM('[9]May 2010 Bank rec'!H78:H79)</f>
        <v>92183.086071501442</v>
      </c>
      <c r="F56" s="281">
        <f>SUM('[9]May 2010 Bank rec'!I78:I79)</f>
        <v>0</v>
      </c>
      <c r="G56" s="281">
        <f>SUM(B56:F56)</f>
        <v>901453.9900000206</v>
      </c>
      <c r="H56" s="296"/>
      <c r="I56" s="280"/>
      <c r="J56" s="293"/>
    </row>
    <row r="57" spans="1:14" x14ac:dyDescent="0.25">
      <c r="A57" s="273" t="s">
        <v>263</v>
      </c>
      <c r="B57" s="281">
        <f>'[9]May 2010 Bank rec'!E86</f>
        <v>0</v>
      </c>
      <c r="C57" s="281">
        <f>'[9]May 2010 Bank rec'!F86</f>
        <v>0</v>
      </c>
      <c r="D57" s="281">
        <f>'[9]May 2010 Bank rec'!G86</f>
        <v>0</v>
      </c>
      <c r="E57" s="281">
        <f>'[9]May 2010 Bank rec'!H86</f>
        <v>0</v>
      </c>
      <c r="F57" s="281">
        <f>'[9]May 2010 Bank rec'!I86</f>
        <v>0</v>
      </c>
      <c r="G57" s="281">
        <f>SUM(B57:F57)</f>
        <v>0</v>
      </c>
      <c r="H57" s="284"/>
      <c r="I57" s="280"/>
      <c r="J57" s="280"/>
    </row>
    <row r="58" spans="1:14" x14ac:dyDescent="0.25">
      <c r="A58" s="281" t="s">
        <v>264</v>
      </c>
      <c r="B58" s="278">
        <f>SUM('[9]May 2010 Bank rec'!E82:E83)</f>
        <v>-150796.06490815562</v>
      </c>
      <c r="C58" s="278">
        <f>SUM('[9]May 2010 Bank rec'!F82:F83)</f>
        <v>-2988.8824602883783</v>
      </c>
      <c r="D58" s="278">
        <f>SUM('[9]May 2010 Bank rec'!G82:G83)</f>
        <v>-2865.2095823181394</v>
      </c>
      <c r="E58" s="278">
        <f>SUM('[9]May 2010 Bank rec'!H82:H83)</f>
        <v>-17843.833049237874</v>
      </c>
      <c r="F58" s="278">
        <f>SUM('[9]May 2010 Bank rec'!I82:I83)</f>
        <v>0</v>
      </c>
      <c r="G58" s="278">
        <f>SUM(B58:F58)</f>
        <v>-174493.99000000002</v>
      </c>
      <c r="H58" s="305"/>
      <c r="I58" s="276"/>
      <c r="J58" s="276"/>
    </row>
    <row r="59" spans="1:14" x14ac:dyDescent="0.25">
      <c r="A59" s="281"/>
      <c r="B59" s="281"/>
      <c r="C59" s="281"/>
      <c r="D59" s="281"/>
      <c r="E59" s="281"/>
      <c r="F59" s="278"/>
      <c r="G59" s="278"/>
    </row>
    <row r="60" spans="1:14" ht="26.4" x14ac:dyDescent="0.25">
      <c r="A60" s="288" t="s">
        <v>265</v>
      </c>
      <c r="B60" s="295">
        <f>+'[9]May 2010 Bank rec'!E77+'[9]May 2010 Bank rec'!E81</f>
        <v>0</v>
      </c>
      <c r="C60" s="295">
        <f>+'[9]May 2010 Bank rec'!F77+'[9]May 2010 Bank rec'!F81</f>
        <v>0</v>
      </c>
      <c r="D60" s="295">
        <f>+'[9]May 2010 Bank rec'!G77+'[9]May 2010 Bank rec'!G81</f>
        <v>0</v>
      </c>
      <c r="E60" s="295">
        <f>+'[9]May 2010 Bank rec'!H77+'[9]May 2010 Bank rec'!H81</f>
        <v>0</v>
      </c>
      <c r="F60" s="295">
        <f>+'[9]May 2010 Bank rec'!I77+'[9]May 2010 Bank rec'!I85</f>
        <v>0</v>
      </c>
      <c r="G60" s="295">
        <f>SUM(B60:F60)</f>
        <v>0</v>
      </c>
    </row>
    <row r="61" spans="1:14" s="262" customFormat="1" x14ac:dyDescent="0.25">
      <c r="A61" s="278" t="str">
        <f>'[9]May 2010 Bank rec'!D68</f>
        <v>Rounding Adjustment</v>
      </c>
      <c r="B61" s="278"/>
      <c r="C61" s="306"/>
      <c r="D61" s="306"/>
      <c r="E61" s="306"/>
      <c r="F61" s="306"/>
      <c r="G61" s="278"/>
      <c r="H61" s="284"/>
      <c r="I61" s="280"/>
      <c r="J61" s="280"/>
    </row>
    <row r="62" spans="1:14" s="310" customFormat="1" x14ac:dyDescent="0.25">
      <c r="A62" s="266" t="s">
        <v>266</v>
      </c>
      <c r="B62" s="307">
        <f>SUM(B56:B61)</f>
        <v>628231.99438350799</v>
      </c>
      <c r="C62" s="307">
        <f>SUM(C56:C61)</f>
        <v>12451.993294045833</v>
      </c>
      <c r="D62" s="307">
        <f>SUM(D56:D61)</f>
        <v>11936.759300203135</v>
      </c>
      <c r="E62" s="307">
        <f>SUM(E56:E61)</f>
        <v>74339.253022263569</v>
      </c>
      <c r="F62" s="307">
        <f>ROUND(SUM(F56:F61),2)</f>
        <v>0</v>
      </c>
      <c r="G62" s="307">
        <f>SUM(G56:G61)</f>
        <v>726960.00000002061</v>
      </c>
      <c r="H62" s="308"/>
      <c r="I62" s="309"/>
      <c r="J62" s="309"/>
    </row>
    <row r="63" spans="1:14" x14ac:dyDescent="0.25">
      <c r="A63" s="278"/>
      <c r="B63" s="280"/>
      <c r="C63" s="280"/>
      <c r="D63" s="280"/>
      <c r="E63" s="280"/>
      <c r="F63" s="280"/>
      <c r="G63" s="280"/>
      <c r="H63" s="280"/>
      <c r="I63" s="280"/>
      <c r="J63" s="280"/>
      <c r="L63" s="273"/>
      <c r="M63" s="273"/>
      <c r="N63" s="273"/>
    </row>
    <row r="64" spans="1:14" ht="15.6" thickBot="1" x14ac:dyDescent="0.3">
      <c r="A64" s="266" t="s">
        <v>267</v>
      </c>
      <c r="B64" s="267">
        <f t="shared" ref="B64:G64" si="2">SUM(B62,B53,B21,B4,B63)</f>
        <v>5103265548.1678591</v>
      </c>
      <c r="C64" s="267">
        <f t="shared" si="2"/>
        <v>102372742.25795248</v>
      </c>
      <c r="D64" s="267">
        <f t="shared" si="2"/>
        <v>81194315.617774263</v>
      </c>
      <c r="E64" s="267">
        <f t="shared" si="2"/>
        <v>456644127.94641417</v>
      </c>
      <c r="F64" s="267">
        <f t="shared" si="2"/>
        <v>0</v>
      </c>
      <c r="G64" s="267">
        <f t="shared" si="2"/>
        <v>5743476733.9899998</v>
      </c>
      <c r="H64" s="280"/>
      <c r="I64" s="280"/>
      <c r="J64" s="311"/>
      <c r="K64" s="257"/>
      <c r="L64" s="273"/>
      <c r="M64" s="273"/>
      <c r="N64" s="273"/>
    </row>
    <row r="65" spans="1:10" ht="13.8" thickBot="1" x14ac:dyDescent="0.3">
      <c r="B65" s="276"/>
      <c r="C65" s="276"/>
      <c r="D65" s="276"/>
      <c r="E65" s="276"/>
      <c r="F65" s="276"/>
      <c r="G65" s="280"/>
      <c r="H65" s="312">
        <v>4034304020.9818473</v>
      </c>
      <c r="I65" s="312">
        <f>G64-H65</f>
        <v>1709172713.0081525</v>
      </c>
      <c r="J65" s="276"/>
    </row>
    <row r="66" spans="1:10" s="262" customFormat="1" x14ac:dyDescent="0.25">
      <c r="A66" s="313" t="s">
        <v>268</v>
      </c>
      <c r="B66" s="314"/>
      <c r="C66" s="314"/>
      <c r="D66" s="314"/>
      <c r="E66" s="314"/>
      <c r="F66" s="314"/>
      <c r="G66" s="314"/>
      <c r="H66" s="312">
        <v>4034304020.9818473</v>
      </c>
      <c r="I66" s="312">
        <f>G64-H66</f>
        <v>1709172713.0081525</v>
      </c>
      <c r="J66" s="315"/>
    </row>
    <row r="67" spans="1:10" s="262" customFormat="1" x14ac:dyDescent="0.25">
      <c r="A67" s="316"/>
      <c r="B67" s="317"/>
      <c r="C67" s="317"/>
      <c r="D67" s="317"/>
      <c r="E67" s="317"/>
      <c r="F67" s="317"/>
      <c r="G67" s="317"/>
      <c r="H67" s="317"/>
      <c r="I67" s="317"/>
      <c r="J67" s="318"/>
    </row>
    <row r="68" spans="1:10" s="262" customFormat="1" x14ac:dyDescent="0.25">
      <c r="A68" s="319" t="s">
        <v>269</v>
      </c>
      <c r="B68" s="317">
        <f t="shared" ref="B68:G68" si="3">ROUND((+B64),2)</f>
        <v>5103265548.1700001</v>
      </c>
      <c r="C68" s="317">
        <f t="shared" si="3"/>
        <v>102372742.26000001</v>
      </c>
      <c r="D68" s="317">
        <f t="shared" si="3"/>
        <v>81194315.620000005</v>
      </c>
      <c r="E68" s="317">
        <f t="shared" si="3"/>
        <v>456644127.94999999</v>
      </c>
      <c r="F68" s="317">
        <f t="shared" si="3"/>
        <v>0</v>
      </c>
      <c r="G68" s="317">
        <f t="shared" si="3"/>
        <v>5743476733.9899998</v>
      </c>
      <c r="H68" s="317"/>
      <c r="I68" s="317"/>
      <c r="J68" s="318"/>
    </row>
    <row r="69" spans="1:10" s="262" customFormat="1" x14ac:dyDescent="0.25">
      <c r="A69" s="319" t="s">
        <v>270</v>
      </c>
      <c r="B69" s="317"/>
      <c r="C69" s="317"/>
      <c r="D69" s="317"/>
      <c r="E69" s="317"/>
      <c r="F69" s="317"/>
      <c r="G69" s="317"/>
      <c r="H69" s="317"/>
      <c r="I69" s="317"/>
      <c r="J69" s="318"/>
    </row>
    <row r="70" spans="1:10" s="262" customFormat="1" ht="26.4" x14ac:dyDescent="0.25">
      <c r="A70" s="320" t="s">
        <v>271</v>
      </c>
      <c r="B70" s="317">
        <f>'[9]May 2010 Bank rec'!E96</f>
        <v>-152753281.25</v>
      </c>
      <c r="C70" s="317"/>
      <c r="D70" s="317"/>
      <c r="E70" s="317"/>
      <c r="F70" s="317"/>
      <c r="G70" s="317">
        <f>B70</f>
        <v>-152753281.25</v>
      </c>
      <c r="H70" s="317"/>
      <c r="I70" s="317"/>
      <c r="J70" s="318"/>
    </row>
    <row r="71" spans="1:10" s="262" customFormat="1" x14ac:dyDescent="0.25">
      <c r="A71" s="321"/>
      <c r="B71" s="317"/>
      <c r="C71" s="317"/>
      <c r="D71" s="317"/>
      <c r="E71" s="317"/>
      <c r="F71" s="317"/>
      <c r="G71" s="317"/>
      <c r="H71" s="317"/>
      <c r="I71" s="317"/>
      <c r="J71" s="318"/>
    </row>
    <row r="72" spans="1:10" s="262" customFormat="1" x14ac:dyDescent="0.25">
      <c r="A72" s="322"/>
      <c r="B72" s="317"/>
      <c r="C72" s="317"/>
      <c r="D72" s="317"/>
      <c r="E72" s="317"/>
      <c r="F72" s="317"/>
      <c r="G72" s="317"/>
      <c r="H72" s="317"/>
      <c r="I72" s="317"/>
      <c r="J72" s="318"/>
    </row>
    <row r="73" spans="1:10" s="262" customFormat="1" x14ac:dyDescent="0.25">
      <c r="A73" s="316" t="s">
        <v>272</v>
      </c>
      <c r="B73" s="317">
        <f>SUM(B68:B71)</f>
        <v>4950512266.9200001</v>
      </c>
      <c r="C73" s="317">
        <f>SUM(C68:C71)</f>
        <v>102372742.26000001</v>
      </c>
      <c r="D73" s="317">
        <f>SUM(D68:D71)</f>
        <v>81194315.620000005</v>
      </c>
      <c r="E73" s="317">
        <f>SUM(E68:E71)</f>
        <v>456644127.94999999</v>
      </c>
      <c r="F73" s="317">
        <f>ROUND(SUM(F68:F71),2)</f>
        <v>0</v>
      </c>
      <c r="G73" s="317">
        <f>ROUND(SUM(G68:G71),2)</f>
        <v>5590723452.7399998</v>
      </c>
      <c r="H73" s="317"/>
      <c r="I73" s="317"/>
      <c r="J73" s="318"/>
    </row>
    <row r="74" spans="1:10" s="262" customFormat="1" x14ac:dyDescent="0.25">
      <c r="A74" s="316" t="s">
        <v>273</v>
      </c>
      <c r="B74" s="323">
        <f>+'[9]May 2010 Bank rec'!E100</f>
        <v>4950247750.3397083</v>
      </c>
      <c r="C74" s="323">
        <f>+'[9]May 2010 Bank rec'!F100</f>
        <v>102307165.38208178</v>
      </c>
      <c r="D74" s="323">
        <f>+'[9]May 2010 Bank rec'!G100</f>
        <v>81208233.74170512</v>
      </c>
      <c r="E74" s="323">
        <f>+'[9]May 2010 Bank rec'!H100</f>
        <v>456841780.39650649</v>
      </c>
      <c r="F74" s="323">
        <f>+'[9]May 2010 Bank rec'!I100</f>
        <v>118522.8800000003</v>
      </c>
      <c r="G74" s="323">
        <f>ROUND(SUM(B74:F74),2)</f>
        <v>5590723452.7399998</v>
      </c>
      <c r="H74" s="317"/>
      <c r="I74" s="317"/>
      <c r="J74" s="318"/>
    </row>
    <row r="75" spans="1:10" s="262" customFormat="1" x14ac:dyDescent="0.25">
      <c r="A75" s="316" t="s">
        <v>33</v>
      </c>
      <c r="B75" s="317">
        <f>+B73-B74</f>
        <v>264516.58029174805</v>
      </c>
      <c r="C75" s="317">
        <f>+C73-C74</f>
        <v>65576.877918228507</v>
      </c>
      <c r="D75" s="317">
        <f>+D73-D74</f>
        <v>-13918.121705114841</v>
      </c>
      <c r="E75" s="317">
        <f>+E73-E74</f>
        <v>-197652.44650650024</v>
      </c>
      <c r="F75" s="317">
        <f>+F73-F74</f>
        <v>-118522.8800000003</v>
      </c>
      <c r="G75" s="317">
        <f>ROUND(SUM(G73-G74),2)</f>
        <v>0</v>
      </c>
      <c r="H75" s="317"/>
      <c r="I75" s="317"/>
      <c r="J75" s="324" t="s">
        <v>274</v>
      </c>
    </row>
    <row r="76" spans="1:10" s="262" customFormat="1" x14ac:dyDescent="0.25">
      <c r="A76" s="316"/>
      <c r="B76" s="325">
        <f>+B75/$F$75</f>
        <v>-2.231776516835799</v>
      </c>
      <c r="C76" s="325">
        <f>+C75/$F$75</f>
        <v>-0.55328454656373816</v>
      </c>
      <c r="D76" s="325">
        <f>+D75/$F$75</f>
        <v>0.11742983046914492</v>
      </c>
      <c r="E76" s="325">
        <f>+E75/$F$75</f>
        <v>1.6676311485723241</v>
      </c>
      <c r="F76" s="326"/>
      <c r="G76" s="326"/>
      <c r="H76" s="326"/>
      <c r="I76" s="326"/>
      <c r="J76" s="327"/>
    </row>
    <row r="77" spans="1:10" s="262" customFormat="1" ht="13.8" thickBot="1" x14ac:dyDescent="0.3">
      <c r="A77" s="328" t="s">
        <v>274</v>
      </c>
      <c r="B77" s="605" t="s">
        <v>275</v>
      </c>
      <c r="C77" s="605"/>
      <c r="D77" s="605"/>
      <c r="E77" s="605"/>
      <c r="F77" s="605"/>
      <c r="G77" s="605"/>
      <c r="H77" s="329"/>
      <c r="I77" s="329"/>
      <c r="J77" s="330"/>
    </row>
    <row r="78" spans="1:10" s="262" customFormat="1" x14ac:dyDescent="0.25">
      <c r="A78" s="260"/>
      <c r="B78" s="260"/>
      <c r="C78" s="260"/>
      <c r="D78" s="260"/>
      <c r="E78" s="260"/>
      <c r="F78" s="260"/>
      <c r="G78" s="260"/>
      <c r="H78" s="331"/>
      <c r="I78" s="331"/>
      <c r="J78" s="260"/>
    </row>
    <row r="79" spans="1:10" s="262" customFormat="1" x14ac:dyDescent="0.25">
      <c r="A79" s="260"/>
      <c r="B79" s="280"/>
      <c r="C79" s="280"/>
      <c r="D79" s="280"/>
      <c r="E79" s="280"/>
      <c r="F79" s="260"/>
      <c r="G79" s="260"/>
      <c r="H79" s="260"/>
      <c r="I79" s="260"/>
      <c r="J79" s="260"/>
    </row>
    <row r="80" spans="1:10" x14ac:dyDescent="0.25">
      <c r="B80" s="332"/>
      <c r="C80" s="332"/>
      <c r="D80" s="332"/>
      <c r="E80" s="332"/>
      <c r="F80" s="332"/>
    </row>
    <row r="81" spans="2:6" x14ac:dyDescent="0.25">
      <c r="B81" s="291"/>
      <c r="C81" s="291"/>
      <c r="D81" s="291"/>
      <c r="E81" s="291"/>
      <c r="F81" s="291"/>
    </row>
    <row r="82" spans="2:6" x14ac:dyDescent="0.25">
      <c r="B82" s="291"/>
      <c r="C82" s="291"/>
      <c r="D82" s="291"/>
      <c r="E82" s="291"/>
      <c r="F82" s="291"/>
    </row>
    <row r="83" spans="2:6" x14ac:dyDescent="0.25">
      <c r="B83" s="291"/>
      <c r="C83" s="291"/>
      <c r="D83" s="291"/>
      <c r="E83" s="291"/>
    </row>
    <row r="85" spans="2:6" x14ac:dyDescent="0.25">
      <c r="B85" s="291"/>
      <c r="C85" s="291"/>
      <c r="D85" s="291"/>
      <c r="E85" s="291"/>
    </row>
    <row r="86" spans="2:6" x14ac:dyDescent="0.25">
      <c r="B86" s="291"/>
      <c r="C86" s="291"/>
      <c r="D86" s="291"/>
      <c r="E86" s="291"/>
    </row>
    <row r="87" spans="2:6" x14ac:dyDescent="0.25">
      <c r="B87" s="291"/>
      <c r="C87" s="291"/>
      <c r="D87" s="291"/>
      <c r="E87" s="291"/>
    </row>
    <row r="89" spans="2:6" x14ac:dyDescent="0.25">
      <c r="B89" s="280"/>
    </row>
    <row r="90" spans="2:6" x14ac:dyDescent="0.25">
      <c r="B90" s="276"/>
    </row>
    <row r="91" spans="2:6" x14ac:dyDescent="0.25">
      <c r="B91" s="276"/>
    </row>
    <row r="92" spans="2:6" x14ac:dyDescent="0.25">
      <c r="B92" s="262"/>
    </row>
    <row r="93" spans="2:6" x14ac:dyDescent="0.25">
      <c r="B93" s="333"/>
    </row>
  </sheetData>
  <mergeCells count="1">
    <mergeCell ref="B77:G77"/>
  </mergeCells>
  <pageMargins left="0.75" right="0.75" top="1.25" bottom="1" header="0.5" footer="0.5"/>
  <pageSetup scale="55" orientation="landscape" horizontalDpi="4294967292" r:id="rId1"/>
  <headerFooter alignWithMargins="0">
    <oddHeader xml:space="preserve">&amp;C&amp;"Times New Roman,Bold"&amp;16Receipts and Outlays for SF 224
April 30, 2010
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2" workbookViewId="0">
      <selection activeCell="E44" sqref="E44"/>
    </sheetView>
  </sheetViews>
  <sheetFormatPr defaultRowHeight="13.2" x14ac:dyDescent="0.25"/>
  <cols>
    <col min="1" max="1" width="39.10937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219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220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182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1158733384.9200001</v>
      </c>
      <c r="D9" s="180">
        <v>189939995.47999999</v>
      </c>
      <c r="E9" s="180">
        <v>1348673380.4000001</v>
      </c>
    </row>
    <row r="10" spans="1:5" x14ac:dyDescent="0.25">
      <c r="A10" s="179" t="s">
        <v>94</v>
      </c>
      <c r="B10" s="179" t="s">
        <v>35</v>
      </c>
      <c r="C10" s="181">
        <v>2089850518.54</v>
      </c>
      <c r="D10" s="181">
        <v>399395518.88999999</v>
      </c>
      <c r="E10" s="181">
        <v>2489246037.4299998</v>
      </c>
    </row>
    <row r="11" spans="1:5" x14ac:dyDescent="0.25">
      <c r="A11" s="179" t="s">
        <v>95</v>
      </c>
      <c r="B11" s="179" t="s">
        <v>36</v>
      </c>
      <c r="C11" s="181">
        <v>649902967.20000005</v>
      </c>
      <c r="D11" s="181">
        <v>130803224.12</v>
      </c>
      <c r="E11" s="181">
        <v>780706191.32000005</v>
      </c>
    </row>
    <row r="12" spans="1:5" x14ac:dyDescent="0.25">
      <c r="A12" s="179" t="s">
        <v>96</v>
      </c>
      <c r="B12" s="179" t="s">
        <v>37</v>
      </c>
      <c r="C12" s="181">
        <v>108019572.11</v>
      </c>
      <c r="D12" s="181">
        <v>18587081.57</v>
      </c>
      <c r="E12" s="181">
        <v>126606653.68000001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4006506442.77</v>
      </c>
      <c r="D14" s="184">
        <f>SUM(D9:D13)</f>
        <v>738725820.06000006</v>
      </c>
      <c r="E14" s="184">
        <f>SUM(E9:E13)</f>
        <v>4745232262.8299999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695790.96</v>
      </c>
      <c r="D16" s="181">
        <v>112235.19</v>
      </c>
      <c r="E16" s="181">
        <v>808026.15</v>
      </c>
    </row>
    <row r="17" spans="1:5" x14ac:dyDescent="0.25">
      <c r="A17" s="179" t="s">
        <v>101</v>
      </c>
      <c r="B17" s="179" t="s">
        <v>102</v>
      </c>
      <c r="C17" s="181">
        <v>1252170.1000000001</v>
      </c>
      <c r="D17" s="181">
        <v>235812.87</v>
      </c>
      <c r="E17" s="181">
        <v>1487982.97</v>
      </c>
    </row>
    <row r="18" spans="1:5" x14ac:dyDescent="0.25">
      <c r="A18" s="179" t="s">
        <v>103</v>
      </c>
      <c r="B18" s="179" t="s">
        <v>104</v>
      </c>
      <c r="C18" s="181">
        <v>401921.29</v>
      </c>
      <c r="D18" s="181">
        <v>77114.3</v>
      </c>
      <c r="E18" s="181">
        <v>479035.59</v>
      </c>
    </row>
    <row r="19" spans="1:5" x14ac:dyDescent="0.25">
      <c r="A19" s="179" t="s">
        <v>105</v>
      </c>
      <c r="B19" s="179" t="s">
        <v>106</v>
      </c>
      <c r="C19" s="181">
        <v>64371.06</v>
      </c>
      <c r="D19" s="181">
        <v>11134.33</v>
      </c>
      <c r="E19" s="181">
        <v>75505.39</v>
      </c>
    </row>
    <row r="20" spans="1:5" x14ac:dyDescent="0.25">
      <c r="A20" s="182" t="s">
        <v>107</v>
      </c>
      <c r="B20" s="183"/>
      <c r="C20" s="184">
        <f>SUM(C16:C19)</f>
        <v>2414253.41</v>
      </c>
      <c r="D20" s="184">
        <f>SUM(D16:D19)</f>
        <v>436296.69</v>
      </c>
      <c r="E20" s="184">
        <f>SUM(E16:E19)</f>
        <v>2850550.1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400291.77</v>
      </c>
      <c r="D22" s="181">
        <v>77584.429999999993</v>
      </c>
      <c r="E22" s="181">
        <v>477876.2</v>
      </c>
    </row>
    <row r="23" spans="1:5" x14ac:dyDescent="0.25">
      <c r="A23" s="179" t="s">
        <v>110</v>
      </c>
      <c r="B23" s="179" t="s">
        <v>111</v>
      </c>
      <c r="C23" s="181">
        <v>720284.82</v>
      </c>
      <c r="D23" s="181">
        <v>163135.62</v>
      </c>
      <c r="E23" s="181">
        <v>883420.44</v>
      </c>
    </row>
    <row r="24" spans="1:5" x14ac:dyDescent="0.25">
      <c r="A24" s="179" t="s">
        <v>112</v>
      </c>
      <c r="B24" s="179" t="s">
        <v>113</v>
      </c>
      <c r="C24" s="181">
        <v>223304.83</v>
      </c>
      <c r="D24" s="181">
        <v>53443.08</v>
      </c>
      <c r="E24" s="181">
        <v>276747.90999999997</v>
      </c>
    </row>
    <row r="25" spans="1:5" x14ac:dyDescent="0.25">
      <c r="A25" s="179" t="s">
        <v>114</v>
      </c>
      <c r="B25" s="179" t="s">
        <v>115</v>
      </c>
      <c r="C25" s="181">
        <v>37285.01</v>
      </c>
      <c r="D25" s="181">
        <v>7604.57</v>
      </c>
      <c r="E25" s="181">
        <v>44889.58</v>
      </c>
    </row>
    <row r="26" spans="1:5" x14ac:dyDescent="0.25">
      <c r="A26" s="182" t="s">
        <v>116</v>
      </c>
      <c r="B26" s="183"/>
      <c r="C26" s="184">
        <f>SUM(C22:C25)</f>
        <v>1381166.43</v>
      </c>
      <c r="D26" s="184">
        <f>SUM(D22:D25)</f>
        <v>301767.7</v>
      </c>
      <c r="E26" s="184">
        <f>SUM(E22:E25)</f>
        <v>1682934.13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2184.48</v>
      </c>
      <c r="D28" s="181">
        <v>0</v>
      </c>
      <c r="E28" s="181">
        <v>2184.48</v>
      </c>
    </row>
    <row r="29" spans="1:5" x14ac:dyDescent="0.25">
      <c r="A29" s="179" t="s">
        <v>119</v>
      </c>
      <c r="B29" s="179" t="s">
        <v>120</v>
      </c>
      <c r="C29" s="181">
        <v>3887.99</v>
      </c>
      <c r="D29" s="181">
        <v>0</v>
      </c>
      <c r="E29" s="181">
        <v>3887.99</v>
      </c>
    </row>
    <row r="30" spans="1:5" x14ac:dyDescent="0.25">
      <c r="A30" s="179" t="s">
        <v>121</v>
      </c>
      <c r="B30" s="179" t="s">
        <v>122</v>
      </c>
      <c r="C30" s="181">
        <v>1181.48</v>
      </c>
      <c r="D30" s="181">
        <v>0</v>
      </c>
      <c r="E30" s="181">
        <v>1181.48</v>
      </c>
    </row>
    <row r="31" spans="1:5" x14ac:dyDescent="0.25">
      <c r="A31" s="179" t="s">
        <v>123</v>
      </c>
      <c r="B31" s="179" t="s">
        <v>124</v>
      </c>
      <c r="C31" s="181">
        <v>200.45</v>
      </c>
      <c r="D31" s="181">
        <v>0</v>
      </c>
      <c r="E31" s="181">
        <v>200.45</v>
      </c>
    </row>
    <row r="32" spans="1:5" x14ac:dyDescent="0.25">
      <c r="A32" s="182" t="s">
        <v>125</v>
      </c>
      <c r="B32" s="183"/>
      <c r="C32" s="184">
        <f>SUM(C28:C31)</f>
        <v>7454.3999999999987</v>
      </c>
      <c r="D32" s="184">
        <f>SUM(D28:D31)</f>
        <v>0</v>
      </c>
      <c r="E32" s="184">
        <f>SUM(E28:E31)</f>
        <v>7454.3999999999987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-7171823.1500000004</v>
      </c>
      <c r="D34" s="181">
        <v>215656.69</v>
      </c>
      <c r="E34" s="181">
        <v>-6956166.46</v>
      </c>
    </row>
    <row r="35" spans="1:5" x14ac:dyDescent="0.25">
      <c r="A35" s="179" t="s">
        <v>128</v>
      </c>
      <c r="B35" s="179" t="s">
        <v>129</v>
      </c>
      <c r="C35" s="181">
        <v>-4323595.3499999996</v>
      </c>
      <c r="D35" s="181">
        <v>-101731.88</v>
      </c>
      <c r="E35" s="181">
        <v>-4425327.2300000004</v>
      </c>
    </row>
    <row r="36" spans="1:5" x14ac:dyDescent="0.25">
      <c r="A36" s="179" t="s">
        <v>130</v>
      </c>
      <c r="B36" s="179" t="s">
        <v>131</v>
      </c>
      <c r="C36" s="181">
        <v>-786319.89</v>
      </c>
      <c r="D36" s="181">
        <v>-33788.81</v>
      </c>
      <c r="E36" s="181">
        <v>-820108.7</v>
      </c>
    </row>
    <row r="37" spans="1:5" x14ac:dyDescent="0.25">
      <c r="A37" s="179" t="s">
        <v>132</v>
      </c>
      <c r="B37" s="179" t="s">
        <v>133</v>
      </c>
      <c r="C37" s="181">
        <v>-223857.66</v>
      </c>
      <c r="D37" s="181">
        <v>-3946.1</v>
      </c>
      <c r="E37" s="181">
        <v>-227803.76</v>
      </c>
    </row>
    <row r="38" spans="1:5" x14ac:dyDescent="0.25">
      <c r="A38" s="182" t="s">
        <v>134</v>
      </c>
      <c r="B38" s="183"/>
      <c r="C38" s="184">
        <f>SUM(C34:C37)</f>
        <v>-12505596.050000001</v>
      </c>
      <c r="D38" s="184">
        <f>SUM(D34:D37)</f>
        <v>76189.899999999994</v>
      </c>
      <c r="E38" s="184">
        <f>SUM(E34:E37)</f>
        <v>-12429406.15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-978900117.94000006</v>
      </c>
      <c r="D40" s="181">
        <v>-245159449.69</v>
      </c>
      <c r="E40" s="181">
        <v>-1224059567.6300001</v>
      </c>
    </row>
    <row r="41" spans="1:5" x14ac:dyDescent="0.25">
      <c r="A41" s="179" t="s">
        <v>137</v>
      </c>
      <c r="B41" s="179" t="s">
        <v>138</v>
      </c>
      <c r="C41" s="181">
        <v>-2271525138</v>
      </c>
      <c r="D41" s="181">
        <v>-375186654</v>
      </c>
      <c r="E41" s="181">
        <v>-2646711792</v>
      </c>
    </row>
    <row r="42" spans="1:5" x14ac:dyDescent="0.25">
      <c r="A42" s="179" t="s">
        <v>139</v>
      </c>
      <c r="B42" s="179" t="s">
        <v>140</v>
      </c>
      <c r="C42" s="181">
        <v>-589945473.34000003</v>
      </c>
      <c r="D42" s="181">
        <v>-99139536</v>
      </c>
      <c r="E42" s="181">
        <v>-689085009.34000003</v>
      </c>
    </row>
    <row r="43" spans="1:5" x14ac:dyDescent="0.25">
      <c r="A43" s="179" t="s">
        <v>141</v>
      </c>
      <c r="B43" s="179" t="s">
        <v>142</v>
      </c>
      <c r="C43" s="181">
        <v>-35795559.799999997</v>
      </c>
      <c r="D43" s="181">
        <v>-9798581.2799999993</v>
      </c>
      <c r="E43" s="181">
        <v>-45594141.079999998</v>
      </c>
    </row>
    <row r="44" spans="1:5" x14ac:dyDescent="0.25">
      <c r="A44" s="182" t="s">
        <v>143</v>
      </c>
      <c r="B44" s="183"/>
      <c r="C44" s="184">
        <f>SUM(C40:C43)</f>
        <v>-3876166289.0800004</v>
      </c>
      <c r="D44" s="184">
        <f>SUM(D40:D43)</f>
        <v>-729284220.97000003</v>
      </c>
      <c r="E44" s="184">
        <f>SUM(E40:E43)</f>
        <v>-4605450510.0500002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-36460167.93</v>
      </c>
      <c r="D56" s="181">
        <v>-2416885.83</v>
      </c>
      <c r="E56" s="181">
        <v>-38877053.759999998</v>
      </c>
    </row>
    <row r="57" spans="1:5" x14ac:dyDescent="0.25">
      <c r="A57" s="179" t="s">
        <v>152</v>
      </c>
      <c r="B57" s="179" t="s">
        <v>41</v>
      </c>
      <c r="C57" s="181">
        <v>-6733487.0899999999</v>
      </c>
      <c r="D57" s="181">
        <v>-5081946.63</v>
      </c>
      <c r="E57" s="181">
        <v>-11815433.720000001</v>
      </c>
    </row>
    <row r="58" spans="1:5" x14ac:dyDescent="0.25">
      <c r="A58" s="179" t="s">
        <v>153</v>
      </c>
      <c r="B58" s="179" t="s">
        <v>42</v>
      </c>
      <c r="C58" s="181">
        <v>-601799.19999999995</v>
      </c>
      <c r="D58" s="181">
        <v>-1664840.45</v>
      </c>
      <c r="E58" s="181">
        <v>-2266639.65</v>
      </c>
    </row>
    <row r="59" spans="1:5" x14ac:dyDescent="0.25">
      <c r="A59" s="179" t="s">
        <v>154</v>
      </c>
      <c r="B59" s="179" t="s">
        <v>43</v>
      </c>
      <c r="C59" s="181">
        <v>-4470746.05</v>
      </c>
      <c r="D59" s="181">
        <v>-236894.29</v>
      </c>
      <c r="E59" s="181">
        <v>-4707640.34</v>
      </c>
    </row>
    <row r="60" spans="1:5" x14ac:dyDescent="0.25">
      <c r="A60" s="182" t="s">
        <v>155</v>
      </c>
      <c r="B60" s="183"/>
      <c r="C60" s="184">
        <f>SUM(C56:C59)</f>
        <v>-48266200.269999996</v>
      </c>
      <c r="D60" s="184">
        <f>SUM(D56:D59)</f>
        <v>-9400567.1999999993</v>
      </c>
      <c r="E60" s="184">
        <f>SUM(E56:E59)</f>
        <v>-57666767.469999999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7338691.7199999997</v>
      </c>
      <c r="D62" s="181">
        <v>1167300.67</v>
      </c>
      <c r="E62" s="181">
        <v>8505992.3900000006</v>
      </c>
    </row>
    <row r="63" spans="1:5" x14ac:dyDescent="0.25">
      <c r="A63" s="179" t="s">
        <v>158</v>
      </c>
      <c r="B63" s="179" t="s">
        <v>159</v>
      </c>
      <c r="C63" s="181">
        <v>297704.06</v>
      </c>
      <c r="D63" s="181">
        <v>16568.439999999999</v>
      </c>
      <c r="E63" s="181">
        <v>314272.5</v>
      </c>
    </row>
    <row r="64" spans="1:5" x14ac:dyDescent="0.25">
      <c r="A64" s="179" t="s">
        <v>160</v>
      </c>
      <c r="B64" s="179" t="s">
        <v>161</v>
      </c>
      <c r="C64" s="181">
        <v>47751.48</v>
      </c>
      <c r="D64" s="181">
        <v>19309.57</v>
      </c>
      <c r="E64" s="181">
        <v>67061.05</v>
      </c>
    </row>
    <row r="65" spans="1:5" x14ac:dyDescent="0.25">
      <c r="A65" s="179" t="s">
        <v>162</v>
      </c>
      <c r="B65" s="179" t="s">
        <v>163</v>
      </c>
      <c r="C65" s="181">
        <v>669449.41</v>
      </c>
      <c r="D65" s="181">
        <v>132984.91</v>
      </c>
      <c r="E65" s="181">
        <v>802434.32</v>
      </c>
    </row>
    <row r="66" spans="1:5" x14ac:dyDescent="0.25">
      <c r="A66" s="182" t="s">
        <v>164</v>
      </c>
      <c r="B66" s="183"/>
      <c r="C66" s="184">
        <f>SUM(C62:C65)</f>
        <v>8353596.6699999999</v>
      </c>
      <c r="D66" s="184">
        <f>SUM(D62:D65)</f>
        <v>1336163.5899999999</v>
      </c>
      <c r="E66" s="184">
        <f>SUM(E62:E65)</f>
        <v>9689760.2600000016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81724828.279999167</v>
      </c>
      <c r="D68" s="184">
        <f>D14+D20+D26+D32+D38+D44+D46+D54+D60+D66</f>
        <v>2191449.770000115</v>
      </c>
      <c r="E68" s="184">
        <f>E14+E20+E26+E32+E38+E44+E46+E54+E60+E66</f>
        <v>83916278.050000235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19" workbookViewId="0">
      <selection activeCell="F45" sqref="F45"/>
    </sheetView>
  </sheetViews>
  <sheetFormatPr defaultRowHeight="13.2" x14ac:dyDescent="0.25"/>
  <cols>
    <col min="1" max="1" width="33" customWidth="1"/>
    <col min="2" max="2" width="31.44140625" bestFit="1" customWidth="1"/>
    <col min="3" max="3" width="16.5546875" bestFit="1" customWidth="1"/>
    <col min="4" max="4" width="15" bestFit="1" customWidth="1"/>
    <col min="5" max="5" width="17.33203125" bestFit="1" customWidth="1"/>
    <col min="6" max="6" width="17.33203125" customWidth="1"/>
    <col min="7" max="7" width="13.5546875" customWidth="1"/>
  </cols>
  <sheetData>
    <row r="1" spans="1:5" x14ac:dyDescent="0.25">
      <c r="A1" s="236" t="s">
        <v>53</v>
      </c>
      <c r="B1" s="237"/>
      <c r="C1" s="237"/>
      <c r="D1" s="237"/>
      <c r="E1" s="237"/>
    </row>
    <row r="2" spans="1:5" x14ac:dyDescent="0.25">
      <c r="A2" s="238" t="s">
        <v>86</v>
      </c>
      <c r="B2" s="239"/>
      <c r="C2" s="239"/>
      <c r="D2" s="239"/>
      <c r="E2" s="239"/>
    </row>
    <row r="3" spans="1:5" x14ac:dyDescent="0.25">
      <c r="A3" s="236" t="s">
        <v>212</v>
      </c>
      <c r="B3" s="237"/>
      <c r="C3" s="237"/>
      <c r="D3" s="237"/>
      <c r="E3" s="237"/>
    </row>
    <row r="4" spans="1:5" x14ac:dyDescent="0.25">
      <c r="A4" s="240" t="s">
        <v>88</v>
      </c>
      <c r="B4" s="241"/>
      <c r="C4" s="241"/>
      <c r="D4" s="241"/>
      <c r="E4" s="241"/>
    </row>
    <row r="5" spans="1:5" x14ac:dyDescent="0.25">
      <c r="A5" s="242" t="s">
        <v>213</v>
      </c>
      <c r="B5" s="243"/>
      <c r="C5" s="243"/>
      <c r="D5" s="243"/>
      <c r="E5" s="243"/>
    </row>
    <row r="6" spans="1:5" x14ac:dyDescent="0.25">
      <c r="A6" s="244"/>
      <c r="B6" s="244"/>
      <c r="C6" s="244"/>
      <c r="D6" s="244"/>
      <c r="E6" s="244"/>
    </row>
    <row r="7" spans="1:5" x14ac:dyDescent="0.25">
      <c r="A7" s="244"/>
      <c r="B7" s="245" t="s">
        <v>30</v>
      </c>
      <c r="C7" s="245" t="s">
        <v>90</v>
      </c>
      <c r="D7" s="245" t="s">
        <v>177</v>
      </c>
      <c r="E7" s="245" t="s">
        <v>92</v>
      </c>
    </row>
    <row r="8" spans="1:5" x14ac:dyDescent="0.25">
      <c r="A8" s="244"/>
      <c r="B8" s="244"/>
      <c r="C8" s="244"/>
      <c r="D8" s="244"/>
      <c r="E8" s="244"/>
    </row>
    <row r="9" spans="1:5" x14ac:dyDescent="0.25">
      <c r="A9" s="246" t="s">
        <v>93</v>
      </c>
      <c r="B9" s="246" t="s">
        <v>34</v>
      </c>
      <c r="C9" s="247">
        <v>957062678.25999999</v>
      </c>
      <c r="D9" s="247">
        <v>201670706.66</v>
      </c>
      <c r="E9" s="247">
        <v>1158733384.9200001</v>
      </c>
    </row>
    <row r="10" spans="1:5" x14ac:dyDescent="0.25">
      <c r="A10" s="246" t="s">
        <v>94</v>
      </c>
      <c r="B10" s="246" t="s">
        <v>35</v>
      </c>
      <c r="C10" s="248">
        <v>1717297751.0999999</v>
      </c>
      <c r="D10" s="248">
        <v>372552767.44</v>
      </c>
      <c r="E10" s="248">
        <v>2089850518.54</v>
      </c>
    </row>
    <row r="11" spans="1:5" x14ac:dyDescent="0.25">
      <c r="A11" s="246" t="s">
        <v>95</v>
      </c>
      <c r="B11" s="246" t="s">
        <v>36</v>
      </c>
      <c r="C11" s="248">
        <v>529473632.98000002</v>
      </c>
      <c r="D11" s="248">
        <v>120429334.22</v>
      </c>
      <c r="E11" s="248">
        <v>649902967.20000005</v>
      </c>
    </row>
    <row r="12" spans="1:5" x14ac:dyDescent="0.25">
      <c r="A12" s="246" t="s">
        <v>96</v>
      </c>
      <c r="B12" s="246" t="s">
        <v>37</v>
      </c>
      <c r="C12" s="248">
        <v>88649535.489999995</v>
      </c>
      <c r="D12" s="248">
        <v>19370036.620000001</v>
      </c>
      <c r="E12" s="248">
        <v>108019572.11</v>
      </c>
    </row>
    <row r="13" spans="1:5" x14ac:dyDescent="0.25">
      <c r="A13" s="246" t="s">
        <v>97</v>
      </c>
      <c r="B13" s="246" t="s">
        <v>38</v>
      </c>
      <c r="C13" s="248">
        <v>0</v>
      </c>
      <c r="D13" s="248">
        <v>0</v>
      </c>
      <c r="E13" s="248">
        <v>0</v>
      </c>
    </row>
    <row r="14" spans="1:5" x14ac:dyDescent="0.25">
      <c r="A14" s="249" t="s">
        <v>98</v>
      </c>
      <c r="B14" s="250"/>
      <c r="C14" s="251">
        <v>3292483597.8299994</v>
      </c>
      <c r="D14" s="251">
        <v>714022844.94000006</v>
      </c>
      <c r="E14" s="251">
        <v>4006506442.77</v>
      </c>
    </row>
    <row r="15" spans="1:5" ht="14.4" x14ac:dyDescent="0.3">
      <c r="A15" s="252"/>
      <c r="B15" s="252"/>
      <c r="C15" s="252"/>
      <c r="D15" s="252"/>
      <c r="E15" s="252"/>
    </row>
    <row r="16" spans="1:5" x14ac:dyDescent="0.25">
      <c r="A16" s="246" t="s">
        <v>99</v>
      </c>
      <c r="B16" s="246" t="s">
        <v>100</v>
      </c>
      <c r="C16" s="248">
        <v>578678.59</v>
      </c>
      <c r="D16" s="248">
        <v>117112.37</v>
      </c>
      <c r="E16" s="248">
        <v>695790.96</v>
      </c>
    </row>
    <row r="17" spans="1:5" x14ac:dyDescent="0.25">
      <c r="A17" s="246" t="s">
        <v>101</v>
      </c>
      <c r="B17" s="246" t="s">
        <v>102</v>
      </c>
      <c r="C17" s="248">
        <v>1022530.15</v>
      </c>
      <c r="D17" s="248">
        <v>229639.95</v>
      </c>
      <c r="E17" s="248">
        <v>1252170.1000000001</v>
      </c>
    </row>
    <row r="18" spans="1:5" x14ac:dyDescent="0.25">
      <c r="A18" s="246" t="s">
        <v>103</v>
      </c>
      <c r="B18" s="246" t="s">
        <v>104</v>
      </c>
      <c r="C18" s="248">
        <v>327073.45</v>
      </c>
      <c r="D18" s="248">
        <v>74847.839999999997</v>
      </c>
      <c r="E18" s="248">
        <v>401921.29</v>
      </c>
    </row>
    <row r="19" spans="1:5" x14ac:dyDescent="0.25">
      <c r="A19" s="246" t="s">
        <v>105</v>
      </c>
      <c r="B19" s="246" t="s">
        <v>106</v>
      </c>
      <c r="C19" s="248">
        <v>53151.199999999997</v>
      </c>
      <c r="D19" s="248">
        <v>11219.86</v>
      </c>
      <c r="E19" s="248">
        <v>64371.06</v>
      </c>
    </row>
    <row r="20" spans="1:5" x14ac:dyDescent="0.25">
      <c r="A20" s="249" t="s">
        <v>107</v>
      </c>
      <c r="B20" s="250"/>
      <c r="C20" s="251">
        <v>1981433.39</v>
      </c>
      <c r="D20" s="251">
        <v>432820.02</v>
      </c>
      <c r="E20" s="251">
        <v>2414253.41</v>
      </c>
    </row>
    <row r="21" spans="1:5" ht="14.4" x14ac:dyDescent="0.3">
      <c r="A21" s="252"/>
      <c r="B21" s="252"/>
      <c r="C21" s="252"/>
      <c r="D21" s="252"/>
      <c r="E21" s="252"/>
    </row>
    <row r="22" spans="1:5" x14ac:dyDescent="0.25">
      <c r="A22" s="246" t="s">
        <v>108</v>
      </c>
      <c r="B22" s="246" t="s">
        <v>109</v>
      </c>
      <c r="C22" s="248">
        <v>328771.84999999998</v>
      </c>
      <c r="D22" s="248">
        <v>71519.92</v>
      </c>
      <c r="E22" s="248">
        <v>400291.77</v>
      </c>
    </row>
    <row r="23" spans="1:5" x14ac:dyDescent="0.25">
      <c r="A23" s="246" t="s">
        <v>110</v>
      </c>
      <c r="B23" s="246" t="s">
        <v>111</v>
      </c>
      <c r="C23" s="248">
        <v>588261.66</v>
      </c>
      <c r="D23" s="248">
        <v>132023.16</v>
      </c>
      <c r="E23" s="248">
        <v>720284.82</v>
      </c>
    </row>
    <row r="24" spans="1:5" x14ac:dyDescent="0.25">
      <c r="A24" s="246" t="s">
        <v>112</v>
      </c>
      <c r="B24" s="246" t="s">
        <v>113</v>
      </c>
      <c r="C24" s="248">
        <v>180479.03</v>
      </c>
      <c r="D24" s="248">
        <v>42825.8</v>
      </c>
      <c r="E24" s="248">
        <v>223304.83</v>
      </c>
    </row>
    <row r="25" spans="1:5" x14ac:dyDescent="0.25">
      <c r="A25" s="246" t="s">
        <v>114</v>
      </c>
      <c r="B25" s="246" t="s">
        <v>115</v>
      </c>
      <c r="C25" s="248">
        <v>30396.39</v>
      </c>
      <c r="D25" s="248">
        <v>6888.62</v>
      </c>
      <c r="E25" s="248">
        <v>37285.01</v>
      </c>
    </row>
    <row r="26" spans="1:5" x14ac:dyDescent="0.25">
      <c r="A26" s="249" t="s">
        <v>116</v>
      </c>
      <c r="B26" s="250"/>
      <c r="C26" s="251">
        <v>1127908.93</v>
      </c>
      <c r="D26" s="251">
        <v>253257.5</v>
      </c>
      <c r="E26" s="251">
        <v>1381166.43</v>
      </c>
    </row>
    <row r="27" spans="1:5" ht="14.4" x14ac:dyDescent="0.3">
      <c r="A27" s="252"/>
      <c r="B27" s="252"/>
      <c r="C27" s="252"/>
      <c r="D27" s="252"/>
      <c r="E27" s="252"/>
    </row>
    <row r="28" spans="1:5" x14ac:dyDescent="0.25">
      <c r="A28" s="246" t="s">
        <v>117</v>
      </c>
      <c r="B28" s="246" t="s">
        <v>118</v>
      </c>
      <c r="C28" s="248">
        <v>1619.62</v>
      </c>
      <c r="D28" s="248">
        <v>564.86</v>
      </c>
      <c r="E28" s="248">
        <v>2184.48</v>
      </c>
    </row>
    <row r="29" spans="1:5" x14ac:dyDescent="0.25">
      <c r="A29" s="246" t="s">
        <v>119</v>
      </c>
      <c r="B29" s="246" t="s">
        <v>120</v>
      </c>
      <c r="C29" s="248">
        <v>2845.41</v>
      </c>
      <c r="D29" s="248">
        <v>1042.58</v>
      </c>
      <c r="E29" s="248">
        <v>3887.99</v>
      </c>
    </row>
    <row r="30" spans="1:5" x14ac:dyDescent="0.25">
      <c r="A30" s="246" t="s">
        <v>121</v>
      </c>
      <c r="B30" s="246" t="s">
        <v>122</v>
      </c>
      <c r="C30" s="248">
        <v>843.24</v>
      </c>
      <c r="D30" s="248">
        <v>338.24</v>
      </c>
      <c r="E30" s="248">
        <v>1181.48</v>
      </c>
    </row>
    <row r="31" spans="1:5" x14ac:dyDescent="0.25">
      <c r="A31" s="246" t="s">
        <v>123</v>
      </c>
      <c r="B31" s="246" t="s">
        <v>124</v>
      </c>
      <c r="C31" s="248">
        <v>146.13</v>
      </c>
      <c r="D31" s="248">
        <v>54.32</v>
      </c>
      <c r="E31" s="248">
        <v>200.45</v>
      </c>
    </row>
    <row r="32" spans="1:5" x14ac:dyDescent="0.25">
      <c r="A32" s="249" t="s">
        <v>125</v>
      </c>
      <c r="B32" s="250"/>
      <c r="C32" s="251">
        <v>5454.4</v>
      </c>
      <c r="D32" s="251">
        <v>2000</v>
      </c>
      <c r="E32" s="251">
        <v>7454.3999999999987</v>
      </c>
    </row>
    <row r="33" spans="1:7" ht="14.4" x14ac:dyDescent="0.3">
      <c r="A33" s="252"/>
      <c r="B33" s="252"/>
      <c r="C33" s="252"/>
      <c r="D33" s="252"/>
      <c r="E33" s="252"/>
    </row>
    <row r="34" spans="1:7" x14ac:dyDescent="0.25">
      <c r="A34" s="246" t="s">
        <v>126</v>
      </c>
      <c r="B34" s="246" t="s">
        <v>127</v>
      </c>
      <c r="C34" s="248">
        <v>-4960487.4000000004</v>
      </c>
      <c r="D34" s="255">
        <v>-2211335.75</v>
      </c>
      <c r="E34" s="248">
        <f>C34+D34</f>
        <v>-7171823.1500000004</v>
      </c>
    </row>
    <row r="35" spans="1:7" x14ac:dyDescent="0.25">
      <c r="A35" s="246" t="s">
        <v>128</v>
      </c>
      <c r="B35" s="246" t="s">
        <v>129</v>
      </c>
      <c r="C35" s="248">
        <v>-2420779.36</v>
      </c>
      <c r="D35" s="255">
        <v>-1902815.99</v>
      </c>
      <c r="E35" s="248">
        <f>C35+D35</f>
        <v>-4323595.3499999996</v>
      </c>
    </row>
    <row r="36" spans="1:7" x14ac:dyDescent="0.25">
      <c r="A36" s="246" t="s">
        <v>130</v>
      </c>
      <c r="B36" s="246" t="s">
        <v>131</v>
      </c>
      <c r="C36" s="248">
        <v>-169008.06</v>
      </c>
      <c r="D36" s="255">
        <v>-617311.82999999996</v>
      </c>
      <c r="E36" s="248">
        <f>C36+D36</f>
        <v>-786319.8899999999</v>
      </c>
    </row>
    <row r="37" spans="1:7" x14ac:dyDescent="0.25">
      <c r="A37" s="246" t="s">
        <v>132</v>
      </c>
      <c r="B37" s="246" t="s">
        <v>133</v>
      </c>
      <c r="C37" s="248">
        <v>-124724.78</v>
      </c>
      <c r="D37" s="255">
        <v>-99132.88</v>
      </c>
      <c r="E37" s="248">
        <f>C37+D37</f>
        <v>-223857.66</v>
      </c>
    </row>
    <row r="38" spans="1:7" x14ac:dyDescent="0.25">
      <c r="A38" s="249" t="s">
        <v>134</v>
      </c>
      <c r="B38" s="250"/>
      <c r="C38" s="251">
        <f>SUM(C34:C37)</f>
        <v>-7674999.5999999996</v>
      </c>
      <c r="D38" s="251">
        <f>SUM(D34:D37)</f>
        <v>-4830596.45</v>
      </c>
      <c r="E38" s="251">
        <f>SUM(E34:E37)</f>
        <v>-12505596.050000001</v>
      </c>
    </row>
    <row r="39" spans="1:7" ht="14.4" x14ac:dyDescent="0.3">
      <c r="A39" s="252"/>
      <c r="B39" s="252"/>
      <c r="C39" s="252"/>
      <c r="D39" s="252"/>
      <c r="E39" s="252"/>
    </row>
    <row r="40" spans="1:7" x14ac:dyDescent="0.25">
      <c r="A40" s="246" t="s">
        <v>135</v>
      </c>
      <c r="B40" s="246" t="s">
        <v>136</v>
      </c>
      <c r="C40" s="248">
        <v>-815213579.44000006</v>
      </c>
      <c r="D40" s="248">
        <v>-162892742.06999999</v>
      </c>
      <c r="E40" s="248">
        <v>-978106321.50999999</v>
      </c>
    </row>
    <row r="41" spans="1:7" x14ac:dyDescent="0.25">
      <c r="A41" s="246" t="s">
        <v>137</v>
      </c>
      <c r="B41" s="246" t="s">
        <v>138</v>
      </c>
      <c r="C41" s="248">
        <v>-1906885934</v>
      </c>
      <c r="D41" s="248">
        <v>-363462538</v>
      </c>
      <c r="E41" s="248">
        <v>-2270348472</v>
      </c>
    </row>
    <row r="42" spans="1:7" x14ac:dyDescent="0.25">
      <c r="A42" s="246" t="s">
        <v>139</v>
      </c>
      <c r="B42" s="246" t="s">
        <v>140</v>
      </c>
      <c r="C42" s="248">
        <v>-487746488.33999997</v>
      </c>
      <c r="D42" s="248">
        <v>-102001069</v>
      </c>
      <c r="E42" s="248">
        <v>-589747557.34000003</v>
      </c>
    </row>
    <row r="43" spans="1:7" x14ac:dyDescent="0.25">
      <c r="A43" s="246" t="s">
        <v>141</v>
      </c>
      <c r="B43" s="246" t="s">
        <v>142</v>
      </c>
      <c r="C43" s="248">
        <v>-31101396.829999998</v>
      </c>
      <c r="D43" s="248">
        <v>-4694162.97</v>
      </c>
      <c r="E43" s="248">
        <v>-35795559.799999997</v>
      </c>
    </row>
    <row r="44" spans="1:7" x14ac:dyDescent="0.25">
      <c r="A44" s="249" t="s">
        <v>143</v>
      </c>
      <c r="B44" s="250"/>
      <c r="C44" s="251">
        <v>-3240947398.6100001</v>
      </c>
      <c r="D44" s="251">
        <v>-633050512.03999996</v>
      </c>
      <c r="E44" s="251">
        <v>-3873997910.6500006</v>
      </c>
    </row>
    <row r="45" spans="1:7" ht="14.4" x14ac:dyDescent="0.3">
      <c r="A45" s="252"/>
      <c r="B45" s="252"/>
      <c r="C45" s="252"/>
      <c r="D45" s="252"/>
      <c r="E45" s="334">
        <v>-3873997910.6499996</v>
      </c>
      <c r="F45" s="187">
        <v>-3876166289.0800004</v>
      </c>
      <c r="G45" s="187">
        <f>+F45-E45</f>
        <v>-2168378.430000782</v>
      </c>
    </row>
    <row r="46" spans="1:7" x14ac:dyDescent="0.25">
      <c r="A46" s="249" t="s">
        <v>144</v>
      </c>
      <c r="B46" s="249" t="s">
        <v>39</v>
      </c>
      <c r="C46" s="251">
        <v>0</v>
      </c>
      <c r="D46" s="251">
        <v>0</v>
      </c>
      <c r="E46" s="251">
        <v>0</v>
      </c>
    </row>
    <row r="47" spans="1:7" x14ac:dyDescent="0.25">
      <c r="A47" s="246" t="s">
        <v>145</v>
      </c>
      <c r="B47" s="253"/>
      <c r="C47" s="248"/>
      <c r="D47" s="248"/>
      <c r="E47" s="248"/>
    </row>
    <row r="48" spans="1:7" ht="14.4" x14ac:dyDescent="0.3">
      <c r="A48" s="252"/>
      <c r="B48" s="252"/>
      <c r="C48" s="252"/>
      <c r="D48" s="252"/>
      <c r="E48" s="252"/>
    </row>
    <row r="49" spans="1:5" ht="14.4" x14ac:dyDescent="0.3">
      <c r="A49" s="252"/>
      <c r="B49" s="252"/>
      <c r="C49" s="252"/>
      <c r="D49" s="252"/>
      <c r="E49" s="252"/>
    </row>
    <row r="50" spans="1:5" x14ac:dyDescent="0.25">
      <c r="A50" s="246" t="s">
        <v>146</v>
      </c>
      <c r="B50" s="246" t="s">
        <v>80</v>
      </c>
      <c r="C50" s="248">
        <v>0</v>
      </c>
      <c r="D50" s="248">
        <v>0</v>
      </c>
      <c r="E50" s="248">
        <v>0</v>
      </c>
    </row>
    <row r="51" spans="1:5" x14ac:dyDescent="0.25">
      <c r="A51" s="246" t="s">
        <v>147</v>
      </c>
      <c r="B51" s="246" t="s">
        <v>81</v>
      </c>
      <c r="C51" s="248">
        <v>0</v>
      </c>
      <c r="D51" s="248">
        <v>0</v>
      </c>
      <c r="E51" s="248">
        <v>0</v>
      </c>
    </row>
    <row r="52" spans="1:5" x14ac:dyDescent="0.25">
      <c r="A52" s="246" t="s">
        <v>148</v>
      </c>
      <c r="B52" s="246" t="s">
        <v>82</v>
      </c>
      <c r="C52" s="248">
        <v>0</v>
      </c>
      <c r="D52" s="248">
        <v>0</v>
      </c>
      <c r="E52" s="248">
        <v>0</v>
      </c>
    </row>
    <row r="53" spans="1:5" x14ac:dyDescent="0.25">
      <c r="A53" s="246" t="s">
        <v>149</v>
      </c>
      <c r="B53" s="246" t="s">
        <v>83</v>
      </c>
      <c r="C53" s="248">
        <v>0</v>
      </c>
      <c r="D53" s="248">
        <v>0</v>
      </c>
      <c r="E53" s="248">
        <v>0</v>
      </c>
    </row>
    <row r="54" spans="1:5" x14ac:dyDescent="0.25">
      <c r="A54" s="249" t="s">
        <v>150</v>
      </c>
      <c r="B54" s="250"/>
      <c r="C54" s="251">
        <v>0</v>
      </c>
      <c r="D54" s="251">
        <v>0</v>
      </c>
      <c r="E54" s="251">
        <v>0</v>
      </c>
    </row>
    <row r="55" spans="1:5" ht="14.4" x14ac:dyDescent="0.3">
      <c r="A55" s="252"/>
      <c r="B55" s="252"/>
      <c r="C55" s="252"/>
      <c r="D55" s="252"/>
      <c r="E55" s="252"/>
    </row>
    <row r="56" spans="1:5" x14ac:dyDescent="0.25">
      <c r="A56" s="246" t="s">
        <v>151</v>
      </c>
      <c r="B56" s="246" t="s">
        <v>40</v>
      </c>
      <c r="C56" s="248">
        <v>-27087956.350000001</v>
      </c>
      <c r="D56" s="248">
        <v>-9372211.5800000001</v>
      </c>
      <c r="E56" s="248">
        <v>-36460167.93</v>
      </c>
    </row>
    <row r="57" spans="1:5" x14ac:dyDescent="0.25">
      <c r="A57" s="246" t="s">
        <v>152</v>
      </c>
      <c r="B57" s="246" t="s">
        <v>41</v>
      </c>
      <c r="C57" s="248">
        <v>-7057962.0999999996</v>
      </c>
      <c r="D57" s="248">
        <v>324475.01</v>
      </c>
      <c r="E57" s="248">
        <v>-6733487.0899999999</v>
      </c>
    </row>
    <row r="58" spans="1:5" x14ac:dyDescent="0.25">
      <c r="A58" s="246" t="s">
        <v>153</v>
      </c>
      <c r="B58" s="246" t="s">
        <v>42</v>
      </c>
      <c r="C58" s="248">
        <v>-1149119.4099999999</v>
      </c>
      <c r="D58" s="248">
        <v>547320.21</v>
      </c>
      <c r="E58" s="248">
        <v>-601799.19999999995</v>
      </c>
    </row>
    <row r="59" spans="1:5" x14ac:dyDescent="0.25">
      <c r="A59" s="246" t="s">
        <v>154</v>
      </c>
      <c r="B59" s="246" t="s">
        <v>43</v>
      </c>
      <c r="C59" s="248">
        <v>-3030858.66</v>
      </c>
      <c r="D59" s="248">
        <v>-1439887.39</v>
      </c>
      <c r="E59" s="248">
        <v>-4470746.05</v>
      </c>
    </row>
    <row r="60" spans="1:5" x14ac:dyDescent="0.25">
      <c r="A60" s="249" t="s">
        <v>155</v>
      </c>
      <c r="B60" s="250"/>
      <c r="C60" s="251">
        <v>-38325896.519999996</v>
      </c>
      <c r="D60" s="251">
        <v>-9940303.75</v>
      </c>
      <c r="E60" s="251">
        <v>-48266200.269999996</v>
      </c>
    </row>
    <row r="61" spans="1:5" ht="14.4" x14ac:dyDescent="0.3">
      <c r="A61" s="252"/>
      <c r="B61" s="252"/>
      <c r="C61" s="252"/>
      <c r="D61" s="252"/>
      <c r="E61" s="252"/>
    </row>
    <row r="62" spans="1:5" x14ac:dyDescent="0.25">
      <c r="A62" s="246" t="s">
        <v>156</v>
      </c>
      <c r="B62" s="246" t="s">
        <v>157</v>
      </c>
      <c r="C62" s="248">
        <v>6173632.2699999996</v>
      </c>
      <c r="D62" s="248">
        <v>1165059.45</v>
      </c>
      <c r="E62" s="248">
        <v>7338691.7199999997</v>
      </c>
    </row>
    <row r="63" spans="1:5" x14ac:dyDescent="0.25">
      <c r="A63" s="246" t="s">
        <v>158</v>
      </c>
      <c r="B63" s="246" t="s">
        <v>159</v>
      </c>
      <c r="C63" s="248">
        <v>279768.55</v>
      </c>
      <c r="D63" s="248">
        <v>17935.509999999998</v>
      </c>
      <c r="E63" s="248">
        <v>297704.06</v>
      </c>
    </row>
    <row r="64" spans="1:5" x14ac:dyDescent="0.25">
      <c r="A64" s="246" t="s">
        <v>160</v>
      </c>
      <c r="B64" s="246" t="s">
        <v>161</v>
      </c>
      <c r="C64" s="248">
        <v>37210.839999999997</v>
      </c>
      <c r="D64" s="248">
        <v>10540.64</v>
      </c>
      <c r="E64" s="248">
        <v>47751.48</v>
      </c>
    </row>
    <row r="65" spans="1:5" x14ac:dyDescent="0.25">
      <c r="A65" s="246" t="s">
        <v>162</v>
      </c>
      <c r="B65" s="246" t="s">
        <v>163</v>
      </c>
      <c r="C65" s="248">
        <v>551545.15</v>
      </c>
      <c r="D65" s="248">
        <v>117904.26</v>
      </c>
      <c r="E65" s="248">
        <v>669449.41</v>
      </c>
    </row>
    <row r="66" spans="1:5" x14ac:dyDescent="0.25">
      <c r="A66" s="249" t="s">
        <v>164</v>
      </c>
      <c r="B66" s="250"/>
      <c r="C66" s="251">
        <v>7042156.8099999996</v>
      </c>
      <c r="D66" s="251">
        <v>1311439.8599999999</v>
      </c>
      <c r="E66" s="251">
        <v>8353596.6699999999</v>
      </c>
    </row>
    <row r="67" spans="1:5" ht="14.4" x14ac:dyDescent="0.3">
      <c r="A67" s="252"/>
      <c r="B67" s="252"/>
      <c r="C67" s="252"/>
      <c r="D67" s="252"/>
      <c r="E67" s="252"/>
    </row>
    <row r="68" spans="1:5" x14ac:dyDescent="0.25">
      <c r="A68" s="249" t="s">
        <v>31</v>
      </c>
      <c r="B68" s="250"/>
      <c r="C68" s="251">
        <v>15692256.629999202</v>
      </c>
      <c r="D68" s="251">
        <v>72554183.530000076</v>
      </c>
      <c r="E68" s="251">
        <v>88246440.159999281</v>
      </c>
    </row>
    <row r="69" spans="1:5" x14ac:dyDescent="0.25">
      <c r="A69" s="249"/>
      <c r="B69" s="250"/>
      <c r="C69" s="251"/>
      <c r="D69" s="251"/>
      <c r="E69" s="251"/>
    </row>
    <row r="70" spans="1:5" x14ac:dyDescent="0.25">
      <c r="C70" s="229">
        <v>88250842.910000443</v>
      </c>
      <c r="D70" s="33">
        <v>88246440.159999281</v>
      </c>
      <c r="E70" s="33">
        <v>72554183.530000076</v>
      </c>
    </row>
    <row r="72" spans="1:5" x14ac:dyDescent="0.25">
      <c r="C72" s="254">
        <f>+E68-C70</f>
        <v>-4402.7500011622906</v>
      </c>
      <c r="D72" s="231">
        <f>+D68-E70</f>
        <v>0</v>
      </c>
      <c r="E72" s="231">
        <f>+E68-D70</f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3" workbookViewId="0">
      <selection activeCell="D63" sqref="D63"/>
    </sheetView>
  </sheetViews>
  <sheetFormatPr defaultRowHeight="13.2" x14ac:dyDescent="0.25"/>
  <cols>
    <col min="1" max="1" width="27.88671875" style="185" customWidth="1"/>
    <col min="2" max="2" width="31.44140625" style="185" bestFit="1" customWidth="1"/>
    <col min="3" max="3" width="16.5546875" style="181" bestFit="1" customWidth="1"/>
    <col min="4" max="4" width="15" style="181" bestFit="1" customWidth="1"/>
    <col min="5" max="5" width="16.5546875" style="181" bestFit="1" customWidth="1"/>
    <col min="7" max="7" width="17.88671875" customWidth="1"/>
    <col min="8" max="8" width="16.5546875" bestFit="1" customWidth="1"/>
  </cols>
  <sheetData>
    <row r="1" spans="1:8" x14ac:dyDescent="0.25">
      <c r="A1" s="169" t="s">
        <v>53</v>
      </c>
      <c r="B1" s="170"/>
      <c r="C1" s="170"/>
      <c r="D1" s="170"/>
      <c r="E1" s="170"/>
    </row>
    <row r="2" spans="1:8" x14ac:dyDescent="0.25">
      <c r="A2" s="171" t="s">
        <v>86</v>
      </c>
      <c r="B2" s="172"/>
      <c r="C2" s="172"/>
      <c r="D2" s="172"/>
      <c r="E2" s="172"/>
    </row>
    <row r="3" spans="1:8" x14ac:dyDescent="0.25">
      <c r="A3" s="169" t="s">
        <v>210</v>
      </c>
      <c r="B3" s="170"/>
      <c r="C3" s="170"/>
      <c r="D3" s="170"/>
      <c r="E3" s="170"/>
    </row>
    <row r="4" spans="1:8" x14ac:dyDescent="0.25">
      <c r="A4" s="173" t="s">
        <v>88</v>
      </c>
      <c r="B4" s="174"/>
      <c r="C4" s="174"/>
      <c r="D4" s="174"/>
      <c r="E4" s="174"/>
    </row>
    <row r="5" spans="1:8" x14ac:dyDescent="0.25">
      <c r="A5" s="175" t="s">
        <v>211</v>
      </c>
      <c r="B5" s="176"/>
      <c r="C5" s="176"/>
      <c r="D5" s="176"/>
      <c r="E5" s="176"/>
    </row>
    <row r="6" spans="1:8" x14ac:dyDescent="0.25">
      <c r="A6" s="177"/>
      <c r="B6" s="177"/>
      <c r="C6" s="177"/>
      <c r="D6" s="177"/>
      <c r="E6" s="177"/>
    </row>
    <row r="7" spans="1:8" x14ac:dyDescent="0.25">
      <c r="A7" s="177"/>
      <c r="B7" s="178" t="s">
        <v>30</v>
      </c>
      <c r="C7" s="178" t="s">
        <v>90</v>
      </c>
      <c r="D7" s="178" t="s">
        <v>170</v>
      </c>
      <c r="E7" s="178" t="s">
        <v>92</v>
      </c>
    </row>
    <row r="8" spans="1:8" x14ac:dyDescent="0.25">
      <c r="A8" s="177"/>
      <c r="B8" s="177"/>
      <c r="C8" s="177"/>
      <c r="D8" s="177"/>
      <c r="E8" s="177"/>
    </row>
    <row r="9" spans="1:8" x14ac:dyDescent="0.25">
      <c r="A9" s="179" t="s">
        <v>93</v>
      </c>
      <c r="B9" s="179" t="s">
        <v>34</v>
      </c>
      <c r="C9" s="180">
        <v>755168564.88</v>
      </c>
      <c r="D9" s="180">
        <v>201894113.38</v>
      </c>
      <c r="E9" s="180">
        <v>957062678.25999999</v>
      </c>
      <c r="G9">
        <v>714894007.61000001</v>
      </c>
      <c r="H9" s="230">
        <f>+D14-G9</f>
        <v>0</v>
      </c>
    </row>
    <row r="10" spans="1:8" x14ac:dyDescent="0.25">
      <c r="A10" s="179" t="s">
        <v>94</v>
      </c>
      <c r="B10" s="179" t="s">
        <v>35</v>
      </c>
      <c r="C10" s="181">
        <v>1344221515.1900001</v>
      </c>
      <c r="D10" s="181">
        <v>373076235.91000003</v>
      </c>
      <c r="E10" s="181">
        <v>1717297751.0999999</v>
      </c>
      <c r="G10">
        <v>498873.61</v>
      </c>
      <c r="H10" s="231">
        <f>+G10-D20</f>
        <v>0</v>
      </c>
    </row>
    <row r="11" spans="1:8" x14ac:dyDescent="0.25">
      <c r="A11" s="179" t="s">
        <v>95</v>
      </c>
      <c r="B11" s="179" t="s">
        <v>36</v>
      </c>
      <c r="C11" s="181">
        <v>408949443.25</v>
      </c>
      <c r="D11" s="181">
        <v>120524189.73</v>
      </c>
      <c r="E11" s="181">
        <v>529473632.98000002</v>
      </c>
      <c r="G11">
        <v>149855.91</v>
      </c>
      <c r="H11" s="231">
        <f>+G11-D26</f>
        <v>0</v>
      </c>
    </row>
    <row r="12" spans="1:8" x14ac:dyDescent="0.25">
      <c r="A12" s="179" t="s">
        <v>96</v>
      </c>
      <c r="B12" s="179" t="s">
        <v>37</v>
      </c>
      <c r="C12" s="181">
        <v>69250066.900000006</v>
      </c>
      <c r="D12" s="181">
        <v>19399468.59</v>
      </c>
      <c r="E12" s="181">
        <v>88649535.489999995</v>
      </c>
      <c r="G12">
        <v>0</v>
      </c>
    </row>
    <row r="13" spans="1:8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  <c r="G13">
        <v>169244.77999999997</v>
      </c>
      <c r="H13" s="230">
        <f>+G13-D38</f>
        <v>0</v>
      </c>
    </row>
    <row r="14" spans="1:8" x14ac:dyDescent="0.25">
      <c r="A14" s="182" t="s">
        <v>98</v>
      </c>
      <c r="B14" s="183"/>
      <c r="C14" s="184">
        <f>SUM(C9:C13)</f>
        <v>2577589590.2200003</v>
      </c>
      <c r="D14" s="184">
        <f>SUM(D9:D13)</f>
        <v>714894007.61000001</v>
      </c>
      <c r="E14" s="184">
        <f>SUM(E9:E13)</f>
        <v>3292483597.8299994</v>
      </c>
      <c r="G14">
        <v>-600715764.77999997</v>
      </c>
      <c r="H14" s="230">
        <f>+D44-G14</f>
        <v>0</v>
      </c>
    </row>
    <row r="15" spans="1:8" x14ac:dyDescent="0.25">
      <c r="G15">
        <v>-7169553.7200000007</v>
      </c>
      <c r="H15" s="231">
        <f>D60-G15</f>
        <v>0</v>
      </c>
    </row>
    <row r="16" spans="1:8" x14ac:dyDescent="0.25">
      <c r="A16" s="179" t="s">
        <v>99</v>
      </c>
      <c r="B16" s="179" t="s">
        <v>100</v>
      </c>
      <c r="C16" s="181">
        <v>437879.62</v>
      </c>
      <c r="D16" s="181">
        <v>140798.97</v>
      </c>
      <c r="E16" s="181">
        <v>578678.59</v>
      </c>
      <c r="G16">
        <v>1148076.6400000001</v>
      </c>
      <c r="H16" s="231">
        <f>D66-G16</f>
        <v>0</v>
      </c>
    </row>
    <row r="17" spans="1:7" x14ac:dyDescent="0.25">
      <c r="A17" s="179" t="s">
        <v>101</v>
      </c>
      <c r="B17" s="179" t="s">
        <v>102</v>
      </c>
      <c r="C17" s="181">
        <v>762468.5</v>
      </c>
      <c r="D17" s="181">
        <v>260061.65</v>
      </c>
      <c r="E17" s="181">
        <v>1022530.15</v>
      </c>
      <c r="G17">
        <v>0</v>
      </c>
    </row>
    <row r="18" spans="1:7" x14ac:dyDescent="0.25">
      <c r="A18" s="179" t="s">
        <v>103</v>
      </c>
      <c r="B18" s="179" t="s">
        <v>104</v>
      </c>
      <c r="C18" s="181">
        <v>242786.53</v>
      </c>
      <c r="D18" s="181">
        <v>84286.92</v>
      </c>
      <c r="E18" s="181">
        <v>327073.45</v>
      </c>
    </row>
    <row r="19" spans="1:7" x14ac:dyDescent="0.25">
      <c r="A19" s="179" t="s">
        <v>105</v>
      </c>
      <c r="B19" s="179" t="s">
        <v>106</v>
      </c>
      <c r="C19" s="181">
        <v>39425.129999999997</v>
      </c>
      <c r="D19" s="181">
        <v>13726.07</v>
      </c>
      <c r="E19" s="181">
        <v>53151.199999999997</v>
      </c>
    </row>
    <row r="20" spans="1:7" x14ac:dyDescent="0.25">
      <c r="A20" s="182" t="s">
        <v>107</v>
      </c>
      <c r="B20" s="183"/>
      <c r="C20" s="184">
        <f>SUM(C16:C19)</f>
        <v>1482559.78</v>
      </c>
      <c r="D20" s="184">
        <f>SUM(D16:D19)</f>
        <v>498873.61</v>
      </c>
      <c r="E20" s="184">
        <f>SUM(E16:E19)</f>
        <v>1981433.39</v>
      </c>
    </row>
    <row r="22" spans="1:7" x14ac:dyDescent="0.25">
      <c r="A22" s="179" t="s">
        <v>108</v>
      </c>
      <c r="B22" s="179" t="s">
        <v>109</v>
      </c>
      <c r="C22" s="181">
        <v>286452.55</v>
      </c>
      <c r="D22" s="181">
        <v>42319.3</v>
      </c>
      <c r="E22" s="181">
        <v>328771.84999999998</v>
      </c>
    </row>
    <row r="23" spans="1:7" x14ac:dyDescent="0.25">
      <c r="A23" s="179" t="s">
        <v>110</v>
      </c>
      <c r="B23" s="179" t="s">
        <v>111</v>
      </c>
      <c r="C23" s="181">
        <v>510141.81</v>
      </c>
      <c r="D23" s="181">
        <v>78119.850000000006</v>
      </c>
      <c r="E23" s="181">
        <v>588261.66</v>
      </c>
    </row>
    <row r="24" spans="1:7" x14ac:dyDescent="0.25">
      <c r="A24" s="179" t="s">
        <v>112</v>
      </c>
      <c r="B24" s="179" t="s">
        <v>113</v>
      </c>
      <c r="C24" s="181">
        <v>155138.39000000001</v>
      </c>
      <c r="D24" s="181">
        <v>25340.639999999999</v>
      </c>
      <c r="E24" s="181">
        <v>180479.03</v>
      </c>
    </row>
    <row r="25" spans="1:7" x14ac:dyDescent="0.25">
      <c r="A25" s="179" t="s">
        <v>114</v>
      </c>
      <c r="B25" s="179" t="s">
        <v>115</v>
      </c>
      <c r="C25" s="181">
        <v>26320.27</v>
      </c>
      <c r="D25" s="181">
        <v>4076.12</v>
      </c>
      <c r="E25" s="181">
        <v>30396.39</v>
      </c>
    </row>
    <row r="26" spans="1:7" x14ac:dyDescent="0.25">
      <c r="A26" s="182" t="s">
        <v>116</v>
      </c>
      <c r="B26" s="183"/>
      <c r="C26" s="184">
        <f>SUM(C22:C25)</f>
        <v>978053.02</v>
      </c>
      <c r="D26" s="184">
        <f>SUM(D22:D25)</f>
        <v>149855.91</v>
      </c>
      <c r="E26" s="184">
        <f>SUM(E22:E25)</f>
        <v>1127908.93</v>
      </c>
    </row>
    <row r="28" spans="1:7" x14ac:dyDescent="0.25">
      <c r="A28" s="179" t="s">
        <v>117</v>
      </c>
      <c r="B28" s="179" t="s">
        <v>118</v>
      </c>
      <c r="C28" s="181">
        <v>1619.62</v>
      </c>
      <c r="D28" s="181">
        <v>0</v>
      </c>
      <c r="E28" s="181">
        <v>1619.62</v>
      </c>
    </row>
    <row r="29" spans="1:7" x14ac:dyDescent="0.25">
      <c r="A29" s="179" t="s">
        <v>119</v>
      </c>
      <c r="B29" s="179" t="s">
        <v>120</v>
      </c>
      <c r="C29" s="181">
        <v>2845.41</v>
      </c>
      <c r="D29" s="181">
        <v>0</v>
      </c>
      <c r="E29" s="181">
        <v>2845.41</v>
      </c>
    </row>
    <row r="30" spans="1:7" x14ac:dyDescent="0.25">
      <c r="A30" s="179" t="s">
        <v>121</v>
      </c>
      <c r="B30" s="179" t="s">
        <v>122</v>
      </c>
      <c r="C30" s="181">
        <v>843.24</v>
      </c>
      <c r="D30" s="181">
        <v>0</v>
      </c>
      <c r="E30" s="181">
        <v>843.24</v>
      </c>
    </row>
    <row r="31" spans="1:7" x14ac:dyDescent="0.25">
      <c r="A31" s="179" t="s">
        <v>123</v>
      </c>
      <c r="B31" s="179" t="s">
        <v>124</v>
      </c>
      <c r="C31" s="181">
        <v>146.13</v>
      </c>
      <c r="D31" s="181">
        <v>0</v>
      </c>
      <c r="E31" s="181">
        <v>146.13</v>
      </c>
    </row>
    <row r="32" spans="1:7" x14ac:dyDescent="0.25">
      <c r="A32" s="182" t="s">
        <v>125</v>
      </c>
      <c r="B32" s="183"/>
      <c r="C32" s="184">
        <f>SUM(C28:C31)</f>
        <v>5454.4</v>
      </c>
      <c r="D32" s="184">
        <f>SUM(D28:D31)</f>
        <v>0</v>
      </c>
      <c r="E32" s="184">
        <f>SUM(E28:E31)</f>
        <v>5454.4</v>
      </c>
    </row>
    <row r="34" spans="1:8" x14ac:dyDescent="0.25">
      <c r="A34" s="179" t="s">
        <v>126</v>
      </c>
      <c r="B34" s="179" t="s">
        <v>127</v>
      </c>
      <c r="C34" s="181">
        <v>-4587684.03</v>
      </c>
      <c r="D34" s="181">
        <v>-372803.37</v>
      </c>
      <c r="E34" s="181">
        <v>-4960487.4000000004</v>
      </c>
    </row>
    <row r="35" spans="1:8" x14ac:dyDescent="0.25">
      <c r="A35" s="179" t="s">
        <v>128</v>
      </c>
      <c r="B35" s="179" t="s">
        <v>129</v>
      </c>
      <c r="C35" s="181">
        <v>-2812012.41</v>
      </c>
      <c r="D35" s="181">
        <v>391233.05</v>
      </c>
      <c r="E35" s="181">
        <v>-2420779.36</v>
      </c>
    </row>
    <row r="36" spans="1:8" x14ac:dyDescent="0.25">
      <c r="A36" s="179" t="s">
        <v>130</v>
      </c>
      <c r="B36" s="179" t="s">
        <v>131</v>
      </c>
      <c r="C36" s="181">
        <v>-299352.11</v>
      </c>
      <c r="D36" s="181">
        <v>130344.05</v>
      </c>
      <c r="E36" s="181">
        <v>-169008.06</v>
      </c>
    </row>
    <row r="37" spans="1:8" x14ac:dyDescent="0.25">
      <c r="A37" s="179" t="s">
        <v>132</v>
      </c>
      <c r="B37" s="179" t="s">
        <v>133</v>
      </c>
      <c r="C37" s="181">
        <v>-145195.82999999999</v>
      </c>
      <c r="D37" s="181">
        <v>20471.05</v>
      </c>
      <c r="E37" s="181">
        <v>-124724.78</v>
      </c>
    </row>
    <row r="38" spans="1:8" x14ac:dyDescent="0.25">
      <c r="A38" s="182" t="s">
        <v>134</v>
      </c>
      <c r="B38" s="183"/>
      <c r="C38" s="184">
        <f>SUM(C34:C37)</f>
        <v>-7844244.3800000008</v>
      </c>
      <c r="D38" s="184">
        <f>SUM(D34:D37)</f>
        <v>169244.77999999997</v>
      </c>
      <c r="E38" s="184">
        <f>SUM(E34:E37)</f>
        <v>-7674999.5999999996</v>
      </c>
    </row>
    <row r="40" spans="1:8" x14ac:dyDescent="0.25">
      <c r="A40" s="179" t="s">
        <v>135</v>
      </c>
      <c r="B40" s="179" t="s">
        <v>136</v>
      </c>
      <c r="C40" s="181">
        <v>-686031488.28999996</v>
      </c>
      <c r="D40" s="181">
        <v>-129182091.15000001</v>
      </c>
      <c r="E40" s="181">
        <v>-815213579.44000006</v>
      </c>
    </row>
    <row r="41" spans="1:8" x14ac:dyDescent="0.25">
      <c r="A41" s="179" t="s">
        <v>137</v>
      </c>
      <c r="B41" s="179" t="s">
        <v>138</v>
      </c>
      <c r="C41" s="181">
        <v>-1539927666</v>
      </c>
      <c r="D41" s="181">
        <v>-366958268</v>
      </c>
      <c r="E41" s="181">
        <v>-1906885934</v>
      </c>
    </row>
    <row r="42" spans="1:8" x14ac:dyDescent="0.25">
      <c r="A42" s="179" t="s">
        <v>139</v>
      </c>
      <c r="B42" s="179" t="s">
        <v>140</v>
      </c>
      <c r="C42" s="181">
        <v>-388707762.33999997</v>
      </c>
      <c r="D42" s="181">
        <v>-99038726</v>
      </c>
      <c r="E42" s="181">
        <v>-487746488.33999997</v>
      </c>
    </row>
    <row r="43" spans="1:8" x14ac:dyDescent="0.25">
      <c r="A43" s="179" t="s">
        <v>141</v>
      </c>
      <c r="B43" s="179" t="s">
        <v>142</v>
      </c>
      <c r="C43" s="181">
        <v>-25564717.199999999</v>
      </c>
      <c r="D43" s="181">
        <v>-5536679.6299999999</v>
      </c>
      <c r="E43" s="181">
        <v>-31101396.829999998</v>
      </c>
    </row>
    <row r="44" spans="1:8" x14ac:dyDescent="0.25">
      <c r="A44" s="182" t="s">
        <v>143</v>
      </c>
      <c r="B44" s="183"/>
      <c r="C44" s="184">
        <f>SUM(C40:C43)</f>
        <v>-2640231633.8299999</v>
      </c>
      <c r="D44" s="184">
        <f>SUM(D40:D43)</f>
        <v>-600715764.77999997</v>
      </c>
      <c r="E44" s="184">
        <f>SUM(E40:E43)</f>
        <v>-3240947398.6100001</v>
      </c>
      <c r="G44" s="33"/>
      <c r="H44" s="231"/>
    </row>
    <row r="46" spans="1:8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8" x14ac:dyDescent="0.25">
      <c r="A47" s="179" t="s">
        <v>145</v>
      </c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6" spans="1:5" x14ac:dyDescent="0.25">
      <c r="A56" s="179" t="s">
        <v>151</v>
      </c>
      <c r="B56" s="179" t="s">
        <v>40</v>
      </c>
      <c r="C56" s="181">
        <v>-24685778.829999998</v>
      </c>
      <c r="D56" s="181">
        <v>-2402177.52</v>
      </c>
      <c r="E56" s="181">
        <v>-27087956.350000001</v>
      </c>
    </row>
    <row r="57" spans="1:5" x14ac:dyDescent="0.25">
      <c r="A57" s="179" t="s">
        <v>152</v>
      </c>
      <c r="B57" s="179" t="s">
        <v>41</v>
      </c>
      <c r="C57" s="181">
        <v>-3623489.23</v>
      </c>
      <c r="D57" s="181">
        <v>-3434472.87</v>
      </c>
      <c r="E57" s="181">
        <v>-7057962.0999999996</v>
      </c>
    </row>
    <row r="58" spans="1:5" x14ac:dyDescent="0.25">
      <c r="A58" s="179" t="s">
        <v>153</v>
      </c>
      <c r="B58" s="179" t="s">
        <v>42</v>
      </c>
      <c r="C58" s="181">
        <v>-169265.94</v>
      </c>
      <c r="D58" s="181">
        <v>-979853.47</v>
      </c>
      <c r="E58" s="181">
        <v>-1149119.4099999999</v>
      </c>
    </row>
    <row r="59" spans="1:5" x14ac:dyDescent="0.25">
      <c r="A59" s="179" t="s">
        <v>154</v>
      </c>
      <c r="B59" s="179" t="s">
        <v>43</v>
      </c>
      <c r="C59" s="181">
        <v>-2677808.7999999998</v>
      </c>
      <c r="D59" s="181">
        <v>-353049.86</v>
      </c>
      <c r="E59" s="181">
        <v>-3030858.66</v>
      </c>
    </row>
    <row r="60" spans="1:5" x14ac:dyDescent="0.25">
      <c r="A60" s="182" t="s">
        <v>155</v>
      </c>
      <c r="B60" s="183"/>
      <c r="C60" s="184">
        <f>SUM(C56:C59)</f>
        <v>-31156342.800000001</v>
      </c>
      <c r="D60" s="184">
        <f>SUM(D56:D59)</f>
        <v>-7169553.7200000007</v>
      </c>
      <c r="E60" s="184">
        <f>SUM(E56:E59)</f>
        <v>-38325896.519999996</v>
      </c>
    </row>
    <row r="62" spans="1:5" x14ac:dyDescent="0.25">
      <c r="A62" s="179" t="s">
        <v>156</v>
      </c>
      <c r="B62" s="179" t="s">
        <v>157</v>
      </c>
      <c r="C62" s="181">
        <v>5161058.42</v>
      </c>
      <c r="D62" s="181">
        <v>1012573.85</v>
      </c>
      <c r="E62" s="181">
        <v>6173632.2699999996</v>
      </c>
    </row>
    <row r="63" spans="1:5" x14ac:dyDescent="0.25">
      <c r="A63" s="179" t="s">
        <v>158</v>
      </c>
      <c r="B63" s="179" t="s">
        <v>159</v>
      </c>
      <c r="C63" s="181">
        <v>247201.54</v>
      </c>
      <c r="D63" s="181">
        <v>32567.01</v>
      </c>
      <c r="E63" s="181">
        <v>279768.55</v>
      </c>
    </row>
    <row r="64" spans="1:5" x14ac:dyDescent="0.25">
      <c r="A64" s="179" t="s">
        <v>160</v>
      </c>
      <c r="B64" s="179" t="s">
        <v>161</v>
      </c>
      <c r="C64" s="181">
        <v>30678.63</v>
      </c>
      <c r="D64" s="181">
        <v>6532.21</v>
      </c>
      <c r="E64" s="181">
        <v>37210.839999999997</v>
      </c>
    </row>
    <row r="65" spans="1:5" x14ac:dyDescent="0.25">
      <c r="A65" s="179" t="s">
        <v>162</v>
      </c>
      <c r="B65" s="179" t="s">
        <v>163</v>
      </c>
      <c r="C65" s="181">
        <v>455141.58</v>
      </c>
      <c r="D65" s="181">
        <v>96403.57</v>
      </c>
      <c r="E65" s="181">
        <v>551545.15</v>
      </c>
    </row>
    <row r="66" spans="1:5" x14ac:dyDescent="0.25">
      <c r="A66" s="182" t="s">
        <v>164</v>
      </c>
      <c r="B66" s="183"/>
      <c r="C66" s="184">
        <f>SUM(C62:C65)</f>
        <v>5894080.1699999999</v>
      </c>
      <c r="D66" s="184">
        <f>SUM(D62:D65)</f>
        <v>1148076.6400000001</v>
      </c>
      <c r="E66" s="184">
        <f>SUM(E62:E65)</f>
        <v>7042156.8099999996</v>
      </c>
    </row>
    <row r="68" spans="1:5" x14ac:dyDescent="0.25">
      <c r="A68" s="182" t="s">
        <v>31</v>
      </c>
      <c r="B68" s="183"/>
      <c r="C68" s="184">
        <f>C14+C20+C26+C32+C38+C44+C46+C54+C60+C66</f>
        <v>-93282483.41999948</v>
      </c>
      <c r="D68" s="184">
        <f>D14+D20+D26+D32+D38+D44+D46+D54+D60+D66</f>
        <v>108974740.05</v>
      </c>
      <c r="E68" s="184">
        <f>E14+E20+E26+E32+E38+E44+E46+E54+E60+E66</f>
        <v>15692256.629999202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F1" sqref="F1:F60"/>
    </sheetView>
  </sheetViews>
  <sheetFormatPr defaultRowHeight="13.2" outlineLevelCol="1" x14ac:dyDescent="0.25"/>
  <cols>
    <col min="1" max="1" width="26.88671875" style="185" customWidth="1"/>
    <col min="2" max="2" width="31.44140625" style="185" bestFit="1" customWidth="1"/>
    <col min="3" max="3" width="16.5546875" style="181" bestFit="1" customWidth="1"/>
    <col min="4" max="4" width="15" style="181" bestFit="1" customWidth="1"/>
    <col min="5" max="5" width="16.5546875" style="181" bestFit="1" customWidth="1"/>
    <col min="7" max="7" width="15.88671875" style="187" hidden="1" customWidth="1" outlineLevel="1"/>
    <col min="8" max="8" width="14.44140625" hidden="1" customWidth="1" outlineLevel="1"/>
    <col min="9" max="9" width="13.6640625" customWidth="1" collapsed="1"/>
  </cols>
  <sheetData>
    <row r="1" spans="1:8" x14ac:dyDescent="0.25">
      <c r="A1" s="169" t="s">
        <v>53</v>
      </c>
      <c r="B1" s="170"/>
      <c r="C1" s="170"/>
      <c r="D1" s="170"/>
      <c r="E1" s="170"/>
      <c r="F1">
        <v>755168564.88</v>
      </c>
    </row>
    <row r="2" spans="1:8" x14ac:dyDescent="0.25">
      <c r="A2" s="171" t="s">
        <v>86</v>
      </c>
      <c r="B2" s="172"/>
      <c r="C2" s="172"/>
      <c r="D2" s="172"/>
      <c r="E2" s="172"/>
      <c r="F2">
        <v>1344221515.1900001</v>
      </c>
    </row>
    <row r="3" spans="1:8" x14ac:dyDescent="0.25">
      <c r="A3" s="169" t="s">
        <v>208</v>
      </c>
      <c r="B3" s="170"/>
      <c r="C3" s="170"/>
      <c r="D3" s="170"/>
      <c r="E3" s="170"/>
      <c r="F3">
        <v>408949443.25</v>
      </c>
    </row>
    <row r="4" spans="1:8" x14ac:dyDescent="0.25">
      <c r="A4" s="173" t="s">
        <v>88</v>
      </c>
      <c r="B4" s="174"/>
      <c r="C4" s="174"/>
      <c r="D4" s="174"/>
      <c r="E4" s="174"/>
      <c r="F4">
        <v>69250066.900000006</v>
      </c>
    </row>
    <row r="5" spans="1:8" x14ac:dyDescent="0.25">
      <c r="A5" s="175" t="s">
        <v>209</v>
      </c>
      <c r="B5" s="176"/>
      <c r="C5" s="176"/>
      <c r="D5" s="176"/>
      <c r="E5" s="176"/>
      <c r="F5">
        <v>0</v>
      </c>
    </row>
    <row r="6" spans="1:8" x14ac:dyDescent="0.25">
      <c r="A6" s="177"/>
      <c r="B6" s="177"/>
      <c r="C6" s="177"/>
      <c r="D6" s="177"/>
      <c r="E6" s="177"/>
      <c r="F6">
        <v>2577589590.2200003</v>
      </c>
    </row>
    <row r="7" spans="1:8" x14ac:dyDescent="0.25">
      <c r="A7" s="177"/>
      <c r="B7" s="178" t="s">
        <v>30</v>
      </c>
      <c r="C7" s="178" t="s">
        <v>90</v>
      </c>
      <c r="D7" s="178" t="s">
        <v>167</v>
      </c>
      <c r="E7" s="178" t="s">
        <v>92</v>
      </c>
      <c r="G7" s="234" t="s">
        <v>167</v>
      </c>
      <c r="H7" s="235" t="s">
        <v>172</v>
      </c>
    </row>
    <row r="8" spans="1:8" x14ac:dyDescent="0.25">
      <c r="A8" s="177"/>
      <c r="B8" s="177"/>
      <c r="C8" s="177"/>
      <c r="D8" s="177"/>
      <c r="E8" s="177"/>
      <c r="F8">
        <v>437879.62</v>
      </c>
    </row>
    <row r="9" spans="1:8" x14ac:dyDescent="0.25">
      <c r="A9" s="179" t="s">
        <v>93</v>
      </c>
      <c r="B9" s="179" t="s">
        <v>34</v>
      </c>
      <c r="C9" s="180">
        <v>554219179.41999996</v>
      </c>
      <c r="D9" s="180">
        <v>200949385.46000001</v>
      </c>
      <c r="E9" s="180">
        <v>755168564.88</v>
      </c>
      <c r="F9">
        <v>762468.5</v>
      </c>
      <c r="G9" s="187">
        <v>200949385.46000001</v>
      </c>
      <c r="H9" s="228">
        <f t="shared" ref="H9:H14" si="0">D9-G9</f>
        <v>0</v>
      </c>
    </row>
    <row r="10" spans="1:8" x14ac:dyDescent="0.25">
      <c r="A10" s="179" t="s">
        <v>94</v>
      </c>
      <c r="B10" s="179" t="s">
        <v>35</v>
      </c>
      <c r="C10" s="181">
        <v>973155228.28999996</v>
      </c>
      <c r="D10" s="181">
        <v>371066286.89999998</v>
      </c>
      <c r="E10" s="181">
        <v>1344221515.1900001</v>
      </c>
      <c r="F10">
        <v>242786.53</v>
      </c>
      <c r="G10" s="187">
        <v>371066286.89999998</v>
      </c>
      <c r="H10" s="228">
        <f t="shared" si="0"/>
        <v>0</v>
      </c>
    </row>
    <row r="11" spans="1:8" x14ac:dyDescent="0.25">
      <c r="A11" s="179" t="s">
        <v>95</v>
      </c>
      <c r="B11" s="179" t="s">
        <v>36</v>
      </c>
      <c r="C11" s="181">
        <v>288813447.5</v>
      </c>
      <c r="D11" s="181">
        <v>120135995.75</v>
      </c>
      <c r="E11" s="181">
        <v>408949443.25</v>
      </c>
      <c r="F11">
        <v>39425.129999999997</v>
      </c>
      <c r="G11" s="187">
        <v>120135995.75</v>
      </c>
      <c r="H11" s="228">
        <f t="shared" si="0"/>
        <v>0</v>
      </c>
    </row>
    <row r="12" spans="1:8" x14ac:dyDescent="0.25">
      <c r="A12" s="179" t="s">
        <v>96</v>
      </c>
      <c r="B12" s="179" t="s">
        <v>37</v>
      </c>
      <c r="C12" s="181">
        <v>49939956.990000002</v>
      </c>
      <c r="D12" s="181">
        <v>19310109.91</v>
      </c>
      <c r="E12" s="181">
        <v>69250066.900000006</v>
      </c>
      <c r="F12">
        <v>1482559.78</v>
      </c>
      <c r="G12" s="187">
        <v>19310109.91</v>
      </c>
      <c r="H12" s="228">
        <f t="shared" si="0"/>
        <v>0</v>
      </c>
    </row>
    <row r="13" spans="1:8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  <c r="G13" s="187">
        <v>0</v>
      </c>
      <c r="H13" s="228">
        <f t="shared" si="0"/>
        <v>0</v>
      </c>
    </row>
    <row r="14" spans="1:8" x14ac:dyDescent="0.25">
      <c r="A14" s="182" t="s">
        <v>98</v>
      </c>
      <c r="B14" s="183"/>
      <c r="C14" s="184">
        <f>SUM(C9:C13)</f>
        <v>1866127812.2</v>
      </c>
      <c r="D14" s="184">
        <f>SUM(D9:D13)</f>
        <v>711461778.01999998</v>
      </c>
      <c r="E14" s="184">
        <f>SUM(E9:E13)</f>
        <v>2577589590.2200003</v>
      </c>
      <c r="F14">
        <v>286452.55</v>
      </c>
      <c r="G14" s="187">
        <v>711461778.01999998</v>
      </c>
      <c r="H14" s="228">
        <f t="shared" si="0"/>
        <v>0</v>
      </c>
    </row>
    <row r="15" spans="1:8" x14ac:dyDescent="0.25">
      <c r="F15">
        <v>510141.81</v>
      </c>
    </row>
    <row r="16" spans="1:8" x14ac:dyDescent="0.25">
      <c r="A16" s="179" t="s">
        <v>99</v>
      </c>
      <c r="B16" s="179" t="s">
        <v>100</v>
      </c>
      <c r="C16" s="181">
        <v>311228.28999999998</v>
      </c>
      <c r="D16" s="181">
        <v>126651.33</v>
      </c>
      <c r="E16" s="181">
        <v>437879.62</v>
      </c>
      <c r="F16">
        <v>155138.39000000001</v>
      </c>
      <c r="G16" s="187">
        <v>126651.33</v>
      </c>
      <c r="H16" s="187">
        <f>D16-G16</f>
        <v>0</v>
      </c>
    </row>
    <row r="17" spans="1:8" x14ac:dyDescent="0.25">
      <c r="A17" s="179" t="s">
        <v>101</v>
      </c>
      <c r="B17" s="179" t="s">
        <v>102</v>
      </c>
      <c r="C17" s="181">
        <v>528622.51</v>
      </c>
      <c r="D17" s="181">
        <v>233845.99</v>
      </c>
      <c r="E17" s="181">
        <v>762468.5</v>
      </c>
      <c r="F17">
        <v>26320.27</v>
      </c>
      <c r="G17" s="187">
        <v>233845.99</v>
      </c>
      <c r="H17" s="187">
        <f>D17-G17</f>
        <v>0</v>
      </c>
    </row>
    <row r="18" spans="1:8" x14ac:dyDescent="0.25">
      <c r="A18" s="179" t="s">
        <v>103</v>
      </c>
      <c r="B18" s="179" t="s">
        <v>104</v>
      </c>
      <c r="C18" s="181">
        <v>167136.01999999999</v>
      </c>
      <c r="D18" s="181">
        <v>75650.509999999995</v>
      </c>
      <c r="E18" s="181">
        <v>242786.53</v>
      </c>
      <c r="F18">
        <v>978053.02</v>
      </c>
      <c r="G18" s="187">
        <v>75650.509999999995</v>
      </c>
      <c r="H18" s="187">
        <f>D18-G18</f>
        <v>0</v>
      </c>
    </row>
    <row r="19" spans="1:8" x14ac:dyDescent="0.25">
      <c r="A19" s="179" t="s">
        <v>105</v>
      </c>
      <c r="B19" s="179" t="s">
        <v>106</v>
      </c>
      <c r="C19" s="181">
        <v>27276.17</v>
      </c>
      <c r="D19" s="181">
        <v>12148.96</v>
      </c>
      <c r="E19" s="181">
        <v>39425.129999999997</v>
      </c>
      <c r="G19" s="187">
        <v>12148.96</v>
      </c>
      <c r="H19" s="187">
        <f>D19-G19</f>
        <v>0</v>
      </c>
    </row>
    <row r="20" spans="1:8" x14ac:dyDescent="0.25">
      <c r="A20" s="182" t="s">
        <v>107</v>
      </c>
      <c r="B20" s="183"/>
      <c r="C20" s="184">
        <f>SUM(C16:C19)</f>
        <v>1034262.9900000001</v>
      </c>
      <c r="D20" s="184">
        <f>SUM(D16:D19)</f>
        <v>448296.79000000004</v>
      </c>
      <c r="E20" s="184">
        <f>SUM(E16:E19)</f>
        <v>1482559.78</v>
      </c>
      <c r="F20">
        <v>1619.62</v>
      </c>
      <c r="G20" s="187">
        <v>448296.79000000004</v>
      </c>
      <c r="H20" s="187">
        <f>D20-G20</f>
        <v>0</v>
      </c>
    </row>
    <row r="21" spans="1:8" x14ac:dyDescent="0.25">
      <c r="F21">
        <v>2845.41</v>
      </c>
    </row>
    <row r="22" spans="1:8" x14ac:dyDescent="0.25">
      <c r="A22" s="179" t="s">
        <v>108</v>
      </c>
      <c r="B22" s="179" t="s">
        <v>109</v>
      </c>
      <c r="C22" s="181">
        <v>209884.77</v>
      </c>
      <c r="D22" s="181">
        <v>76567.78</v>
      </c>
      <c r="E22" s="181">
        <v>286452.55</v>
      </c>
      <c r="F22">
        <v>843.24</v>
      </c>
      <c r="G22" s="187">
        <v>76567.78</v>
      </c>
      <c r="H22" s="187">
        <f>D22-G22</f>
        <v>0</v>
      </c>
    </row>
    <row r="23" spans="1:8" x14ac:dyDescent="0.25">
      <c r="A23" s="179" t="s">
        <v>110</v>
      </c>
      <c r="B23" s="179" t="s">
        <v>111</v>
      </c>
      <c r="C23" s="181">
        <v>368800.53</v>
      </c>
      <c r="D23" s="181">
        <v>141341.28</v>
      </c>
      <c r="E23" s="181">
        <v>510141.81</v>
      </c>
      <c r="F23">
        <v>146.13</v>
      </c>
      <c r="G23" s="187">
        <v>141341.28</v>
      </c>
      <c r="H23" s="187">
        <f>D23-G23</f>
        <v>0</v>
      </c>
    </row>
    <row r="24" spans="1:8" x14ac:dyDescent="0.25">
      <c r="A24" s="179" t="s">
        <v>112</v>
      </c>
      <c r="B24" s="179" t="s">
        <v>113</v>
      </c>
      <c r="C24" s="181">
        <v>109289.95</v>
      </c>
      <c r="D24" s="181">
        <v>45848.44</v>
      </c>
      <c r="E24" s="181">
        <v>155138.39000000001</v>
      </c>
      <c r="F24">
        <v>5454.4</v>
      </c>
      <c r="G24" s="187">
        <v>45848.44</v>
      </c>
      <c r="H24" s="187">
        <f>D24-G24</f>
        <v>0</v>
      </c>
    </row>
    <row r="25" spans="1:8" x14ac:dyDescent="0.25">
      <c r="A25" s="179" t="s">
        <v>114</v>
      </c>
      <c r="B25" s="179" t="s">
        <v>115</v>
      </c>
      <c r="C25" s="181">
        <v>18945.46</v>
      </c>
      <c r="D25" s="181">
        <v>7374.81</v>
      </c>
      <c r="E25" s="181">
        <v>26320.27</v>
      </c>
      <c r="G25" s="187">
        <v>7374.81</v>
      </c>
      <c r="H25" s="187">
        <f>D25-G25</f>
        <v>0</v>
      </c>
    </row>
    <row r="26" spans="1:8" x14ac:dyDescent="0.25">
      <c r="A26" s="182" t="s">
        <v>116</v>
      </c>
      <c r="B26" s="183"/>
      <c r="C26" s="184">
        <f>SUM(C22:C25)</f>
        <v>706920.71</v>
      </c>
      <c r="D26" s="184">
        <f>SUM(D22:D25)</f>
        <v>271132.31</v>
      </c>
      <c r="E26" s="184">
        <f>SUM(E22:E25)</f>
        <v>978053.02</v>
      </c>
      <c r="F26">
        <v>-4587684.03</v>
      </c>
      <c r="G26" s="187">
        <v>271132.31</v>
      </c>
      <c r="H26" s="187">
        <f>D26-G26</f>
        <v>0</v>
      </c>
    </row>
    <row r="27" spans="1:8" x14ac:dyDescent="0.25">
      <c r="F27">
        <v>-2812012.41</v>
      </c>
      <c r="H27" s="187"/>
    </row>
    <row r="28" spans="1:8" x14ac:dyDescent="0.25">
      <c r="A28" s="179" t="s">
        <v>117</v>
      </c>
      <c r="B28" s="179" t="s">
        <v>118</v>
      </c>
      <c r="C28" s="181">
        <v>1619.62</v>
      </c>
      <c r="D28" s="181">
        <v>0</v>
      </c>
      <c r="E28" s="181">
        <v>1619.62</v>
      </c>
      <c r="F28">
        <v>-299352.11</v>
      </c>
      <c r="G28" s="187">
        <v>0</v>
      </c>
      <c r="H28" s="187">
        <f>D28-G28</f>
        <v>0</v>
      </c>
    </row>
    <row r="29" spans="1:8" x14ac:dyDescent="0.25">
      <c r="A29" s="179" t="s">
        <v>119</v>
      </c>
      <c r="B29" s="179" t="s">
        <v>120</v>
      </c>
      <c r="C29" s="181">
        <v>2845.41</v>
      </c>
      <c r="D29" s="181">
        <v>0</v>
      </c>
      <c r="E29" s="181">
        <v>2845.41</v>
      </c>
      <c r="F29">
        <v>-145195.82999999999</v>
      </c>
      <c r="G29" s="187">
        <v>0</v>
      </c>
      <c r="H29" s="187">
        <f>D29-G29</f>
        <v>0</v>
      </c>
    </row>
    <row r="30" spans="1:8" x14ac:dyDescent="0.25">
      <c r="A30" s="179" t="s">
        <v>121</v>
      </c>
      <c r="B30" s="179" t="s">
        <v>122</v>
      </c>
      <c r="C30" s="181">
        <v>843.24</v>
      </c>
      <c r="D30" s="181">
        <v>0</v>
      </c>
      <c r="E30" s="181">
        <v>843.24</v>
      </c>
      <c r="F30">
        <v>-7844244.3800000008</v>
      </c>
      <c r="G30" s="187">
        <v>0</v>
      </c>
      <c r="H30" s="187">
        <f>D30-G30</f>
        <v>0</v>
      </c>
    </row>
    <row r="31" spans="1:8" x14ac:dyDescent="0.25">
      <c r="A31" s="179" t="s">
        <v>123</v>
      </c>
      <c r="B31" s="179" t="s">
        <v>124</v>
      </c>
      <c r="C31" s="181">
        <v>146.13</v>
      </c>
      <c r="D31" s="181">
        <v>0</v>
      </c>
      <c r="E31" s="181">
        <v>146.13</v>
      </c>
      <c r="G31" s="187">
        <v>0</v>
      </c>
      <c r="H31" s="187">
        <f>D31-G31</f>
        <v>0</v>
      </c>
    </row>
    <row r="32" spans="1:8" x14ac:dyDescent="0.25">
      <c r="A32" s="182" t="s">
        <v>125</v>
      </c>
      <c r="B32" s="183"/>
      <c r="C32" s="184">
        <f>SUM(C28:C31)</f>
        <v>5454.4</v>
      </c>
      <c r="D32" s="184">
        <f>SUM(D28:D31)</f>
        <v>0</v>
      </c>
      <c r="E32" s="184">
        <f>SUM(E28:E31)</f>
        <v>5454.4</v>
      </c>
      <c r="F32">
        <v>-686031488.28999996</v>
      </c>
      <c r="G32" s="187">
        <v>0</v>
      </c>
      <c r="H32" s="187">
        <f>D32-G32</f>
        <v>0</v>
      </c>
    </row>
    <row r="33" spans="1:10" x14ac:dyDescent="0.25">
      <c r="F33">
        <v>-1539927666</v>
      </c>
    </row>
    <row r="34" spans="1:10" x14ac:dyDescent="0.25">
      <c r="A34" s="179" t="s">
        <v>126</v>
      </c>
      <c r="B34" s="179" t="s">
        <v>127</v>
      </c>
      <c r="C34" s="181">
        <v>-1035936.64</v>
      </c>
      <c r="D34" s="181">
        <v>-3551747.39</v>
      </c>
      <c r="E34" s="181">
        <v>-4587684.03</v>
      </c>
      <c r="F34">
        <v>-388707762.33999997</v>
      </c>
      <c r="G34" s="187">
        <v>-3551747.39</v>
      </c>
      <c r="H34" s="187">
        <f>D34-G34</f>
        <v>0</v>
      </c>
    </row>
    <row r="35" spans="1:10" x14ac:dyDescent="0.25">
      <c r="A35" s="179" t="s">
        <v>128</v>
      </c>
      <c r="B35" s="179" t="s">
        <v>129</v>
      </c>
      <c r="C35" s="181">
        <v>-3053722.43</v>
      </c>
      <c r="D35" s="181">
        <v>241710.02</v>
      </c>
      <c r="E35" s="181">
        <v>-2812012.41</v>
      </c>
      <c r="F35">
        <v>-25564717.199999999</v>
      </c>
      <c r="G35" s="187">
        <v>241710.02</v>
      </c>
      <c r="H35" s="187">
        <f t="shared" ref="H35:H68" si="1">D35-G35</f>
        <v>0</v>
      </c>
    </row>
    <row r="36" spans="1:10" x14ac:dyDescent="0.25">
      <c r="A36" s="179" t="s">
        <v>130</v>
      </c>
      <c r="B36" s="179" t="s">
        <v>131</v>
      </c>
      <c r="C36" s="181">
        <v>-372138.39</v>
      </c>
      <c r="D36" s="181">
        <v>72786.28</v>
      </c>
      <c r="E36" s="181">
        <v>-299352.11</v>
      </c>
      <c r="F36">
        <v>-2640231633.8299999</v>
      </c>
      <c r="G36" s="187">
        <v>72786.28</v>
      </c>
      <c r="H36" s="187">
        <f t="shared" si="1"/>
        <v>0</v>
      </c>
    </row>
    <row r="37" spans="1:10" x14ac:dyDescent="0.25">
      <c r="A37" s="179" t="s">
        <v>132</v>
      </c>
      <c r="B37" s="179" t="s">
        <v>133</v>
      </c>
      <c r="C37" s="181">
        <v>-157624.94</v>
      </c>
      <c r="D37" s="181">
        <v>12429.11</v>
      </c>
      <c r="E37" s="181">
        <v>-145195.82999999999</v>
      </c>
      <c r="G37" s="187">
        <v>12429.11</v>
      </c>
      <c r="H37" s="187">
        <f t="shared" si="1"/>
        <v>0</v>
      </c>
    </row>
    <row r="38" spans="1:10" x14ac:dyDescent="0.25">
      <c r="A38" s="182" t="s">
        <v>134</v>
      </c>
      <c r="B38" s="183"/>
      <c r="C38" s="184">
        <f>SUM(C34:C37)</f>
        <v>-4619422.4000000004</v>
      </c>
      <c r="D38" s="184">
        <f>SUM(D34:D37)</f>
        <v>-3224821.9800000004</v>
      </c>
      <c r="E38" s="184">
        <f>SUM(E34:E37)</f>
        <v>-7844244.3800000008</v>
      </c>
      <c r="F38">
        <v>0</v>
      </c>
      <c r="G38" s="187">
        <v>-3224821.9800000004</v>
      </c>
      <c r="H38" s="187">
        <f t="shared" si="1"/>
        <v>0</v>
      </c>
      <c r="J38" s="230"/>
    </row>
    <row r="39" spans="1:10" x14ac:dyDescent="0.25">
      <c r="H39" s="187">
        <f t="shared" si="1"/>
        <v>0</v>
      </c>
    </row>
    <row r="40" spans="1:10" x14ac:dyDescent="0.25">
      <c r="A40" s="179" t="s">
        <v>135</v>
      </c>
      <c r="B40" s="179" t="s">
        <v>136</v>
      </c>
      <c r="C40" s="181">
        <v>-574355907.92999995</v>
      </c>
      <c r="D40" s="181">
        <v>-111675580.36</v>
      </c>
      <c r="E40" s="181">
        <v>-686031488.28999996</v>
      </c>
      <c r="G40" s="187">
        <v>-111675580.36</v>
      </c>
      <c r="H40" s="187">
        <f t="shared" si="1"/>
        <v>0</v>
      </c>
    </row>
    <row r="41" spans="1:10" x14ac:dyDescent="0.25">
      <c r="A41" s="179" t="s">
        <v>137</v>
      </c>
      <c r="B41" s="179" t="s">
        <v>138</v>
      </c>
      <c r="C41" s="181">
        <v>-1160030292</v>
      </c>
      <c r="D41" s="181">
        <v>-379897374</v>
      </c>
      <c r="E41" s="181">
        <v>-1539927666</v>
      </c>
      <c r="G41" s="187">
        <v>-379897374</v>
      </c>
      <c r="H41" s="187">
        <f t="shared" si="1"/>
        <v>0</v>
      </c>
    </row>
    <row r="42" spans="1:10" x14ac:dyDescent="0.25">
      <c r="A42" s="179" t="s">
        <v>139</v>
      </c>
      <c r="B42" s="179" t="s">
        <v>140</v>
      </c>
      <c r="C42" s="181">
        <v>-289195278.33999997</v>
      </c>
      <c r="D42" s="181">
        <v>-99512484</v>
      </c>
      <c r="E42" s="181">
        <v>-388707762.33999997</v>
      </c>
      <c r="F42">
        <v>0</v>
      </c>
      <c r="G42" s="187">
        <v>-99512484</v>
      </c>
      <c r="H42" s="187">
        <f t="shared" si="1"/>
        <v>0</v>
      </c>
    </row>
    <row r="43" spans="1:10" x14ac:dyDescent="0.25">
      <c r="A43" s="179" t="s">
        <v>141</v>
      </c>
      <c r="B43" s="179" t="s">
        <v>142</v>
      </c>
      <c r="C43" s="181">
        <v>-21326218.25</v>
      </c>
      <c r="D43" s="181">
        <v>-4238498.95</v>
      </c>
      <c r="E43" s="181">
        <v>-25564717.199999999</v>
      </c>
      <c r="F43">
        <v>0</v>
      </c>
      <c r="G43" s="187">
        <v>-4238498.95</v>
      </c>
      <c r="H43" s="187">
        <f t="shared" si="1"/>
        <v>0</v>
      </c>
    </row>
    <row r="44" spans="1:10" x14ac:dyDescent="0.25">
      <c r="A44" s="182" t="s">
        <v>143</v>
      </c>
      <c r="B44" s="183"/>
      <c r="C44" s="184">
        <f>SUM(C40:C43)</f>
        <v>-2044907696.5199997</v>
      </c>
      <c r="D44" s="184">
        <f>SUM(D40:D43)</f>
        <v>-595323937.31000006</v>
      </c>
      <c r="E44" s="184">
        <f>SUM(E40:E43)</f>
        <v>-2640231633.8299999</v>
      </c>
      <c r="F44">
        <v>0</v>
      </c>
      <c r="G44" s="187">
        <v>-595323937.31000006</v>
      </c>
      <c r="H44" s="187">
        <f t="shared" si="1"/>
        <v>0</v>
      </c>
    </row>
    <row r="45" spans="1:10" x14ac:dyDescent="0.25">
      <c r="F45">
        <v>0</v>
      </c>
      <c r="H45" s="187">
        <f t="shared" si="1"/>
        <v>0</v>
      </c>
    </row>
    <row r="46" spans="1:10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  <c r="F46">
        <v>0</v>
      </c>
      <c r="G46" s="187">
        <v>0</v>
      </c>
      <c r="H46" s="187">
        <f t="shared" si="1"/>
        <v>0</v>
      </c>
    </row>
    <row r="47" spans="1:10" x14ac:dyDescent="0.25">
      <c r="A47" s="179" t="s">
        <v>145</v>
      </c>
      <c r="H47" s="187">
        <f t="shared" si="1"/>
        <v>0</v>
      </c>
    </row>
    <row r="48" spans="1:10" x14ac:dyDescent="0.25">
      <c r="F48">
        <v>-24685778.829999998</v>
      </c>
      <c r="H48" s="187">
        <f t="shared" si="1"/>
        <v>0</v>
      </c>
    </row>
    <row r="49" spans="1:8" x14ac:dyDescent="0.25">
      <c r="F49">
        <v>-3623489.23</v>
      </c>
      <c r="H49" s="187">
        <f t="shared" si="1"/>
        <v>0</v>
      </c>
    </row>
    <row r="50" spans="1:8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  <c r="F50">
        <v>-169265.94</v>
      </c>
      <c r="G50" s="187">
        <v>0</v>
      </c>
      <c r="H50" s="187">
        <f t="shared" si="1"/>
        <v>0</v>
      </c>
    </row>
    <row r="51" spans="1:8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  <c r="F51">
        <v>-2677808.7999999998</v>
      </c>
      <c r="G51" s="187">
        <v>0</v>
      </c>
      <c r="H51" s="187">
        <f t="shared" si="1"/>
        <v>0</v>
      </c>
    </row>
    <row r="52" spans="1:8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  <c r="F52">
        <v>-31156342.800000001</v>
      </c>
      <c r="G52" s="187">
        <v>0</v>
      </c>
      <c r="H52" s="187">
        <f t="shared" si="1"/>
        <v>0</v>
      </c>
    </row>
    <row r="53" spans="1:8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  <c r="G53" s="187">
        <v>0</v>
      </c>
      <c r="H53" s="187">
        <f t="shared" si="1"/>
        <v>0</v>
      </c>
    </row>
    <row r="54" spans="1:8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  <c r="F54">
        <v>5161058.42</v>
      </c>
      <c r="G54" s="187">
        <v>0</v>
      </c>
      <c r="H54" s="187">
        <f t="shared" si="1"/>
        <v>0</v>
      </c>
    </row>
    <row r="55" spans="1:8" x14ac:dyDescent="0.25">
      <c r="F55">
        <v>247201.54</v>
      </c>
      <c r="H55" s="187">
        <f t="shared" si="1"/>
        <v>0</v>
      </c>
    </row>
    <row r="56" spans="1:8" x14ac:dyDescent="0.25">
      <c r="A56" s="179" t="s">
        <v>151</v>
      </c>
      <c r="B56" s="179" t="s">
        <v>40</v>
      </c>
      <c r="C56" s="181">
        <v>-18538595.57</v>
      </c>
      <c r="D56" s="181">
        <v>-6147183.2599999998</v>
      </c>
      <c r="E56" s="181">
        <v>-24685778.829999998</v>
      </c>
      <c r="F56">
        <v>30678.63</v>
      </c>
      <c r="G56" s="187">
        <v>-6147183.2599999998</v>
      </c>
      <c r="H56" s="187">
        <f t="shared" si="1"/>
        <v>0</v>
      </c>
    </row>
    <row r="57" spans="1:8" x14ac:dyDescent="0.25">
      <c r="A57" s="179" t="s">
        <v>152</v>
      </c>
      <c r="B57" s="179" t="s">
        <v>41</v>
      </c>
      <c r="C57" s="181">
        <v>-1628229.7</v>
      </c>
      <c r="D57" s="181">
        <v>-1995259.53</v>
      </c>
      <c r="E57" s="181">
        <v>-3623489.23</v>
      </c>
      <c r="F57">
        <v>455141.58</v>
      </c>
      <c r="G57" s="187">
        <v>-1995259.53</v>
      </c>
      <c r="H57" s="187">
        <f t="shared" si="1"/>
        <v>0</v>
      </c>
    </row>
    <row r="58" spans="1:8" x14ac:dyDescent="0.25">
      <c r="A58" s="179" t="s">
        <v>153</v>
      </c>
      <c r="B58" s="179" t="s">
        <v>42</v>
      </c>
      <c r="C58" s="181">
        <v>335682.53</v>
      </c>
      <c r="D58" s="181">
        <v>-504948.47</v>
      </c>
      <c r="E58" s="181">
        <v>-169265.94</v>
      </c>
      <c r="F58">
        <v>5894080.1699999999</v>
      </c>
      <c r="G58" s="187">
        <v>-504948.47</v>
      </c>
      <c r="H58" s="187">
        <f t="shared" si="1"/>
        <v>0</v>
      </c>
    </row>
    <row r="59" spans="1:8" x14ac:dyDescent="0.25">
      <c r="A59" s="179" t="s">
        <v>154</v>
      </c>
      <c r="B59" s="179" t="s">
        <v>43</v>
      </c>
      <c r="C59" s="181">
        <v>-2019821.97</v>
      </c>
      <c r="D59" s="181">
        <v>-657986.82999999996</v>
      </c>
      <c r="E59" s="181">
        <v>-2677808.7999999998</v>
      </c>
      <c r="G59" s="187">
        <v>-657986.82999999996</v>
      </c>
      <c r="H59" s="187">
        <f t="shared" si="1"/>
        <v>0</v>
      </c>
    </row>
    <row r="60" spans="1:8" x14ac:dyDescent="0.25">
      <c r="A60" s="182" t="s">
        <v>155</v>
      </c>
      <c r="B60" s="183"/>
      <c r="C60" s="184">
        <f>SUM(C56:C59)</f>
        <v>-21850964.709999997</v>
      </c>
      <c r="D60" s="184">
        <f>SUM(D56:D59)</f>
        <v>-9305378.0899999999</v>
      </c>
      <c r="E60" s="184">
        <f>SUM(E56:E59)</f>
        <v>-31156342.800000001</v>
      </c>
      <c r="F60">
        <v>-93282483.41999948</v>
      </c>
      <c r="G60" s="187">
        <v>-9305378.0899999999</v>
      </c>
      <c r="H60" s="187">
        <f t="shared" si="1"/>
        <v>0</v>
      </c>
    </row>
    <row r="61" spans="1:8" x14ac:dyDescent="0.25">
      <c r="H61" s="187">
        <f t="shared" si="1"/>
        <v>0</v>
      </c>
    </row>
    <row r="62" spans="1:8" x14ac:dyDescent="0.25">
      <c r="A62" s="179" t="s">
        <v>156</v>
      </c>
      <c r="B62" s="179" t="s">
        <v>157</v>
      </c>
      <c r="C62" s="181">
        <v>3953813.93</v>
      </c>
      <c r="D62" s="181">
        <v>1207244.49</v>
      </c>
      <c r="E62" s="181">
        <v>5161058.42</v>
      </c>
      <c r="G62" s="187">
        <v>1207244.49</v>
      </c>
      <c r="H62" s="187">
        <f t="shared" si="1"/>
        <v>0</v>
      </c>
    </row>
    <row r="63" spans="1:8" x14ac:dyDescent="0.25">
      <c r="A63" s="179" t="s">
        <v>158</v>
      </c>
      <c r="B63" s="179" t="s">
        <v>159</v>
      </c>
      <c r="C63" s="181">
        <v>208926.33</v>
      </c>
      <c r="D63" s="181">
        <v>38275.21</v>
      </c>
      <c r="E63" s="181">
        <v>247201.54</v>
      </c>
      <c r="G63" s="187">
        <v>38275.21</v>
      </c>
      <c r="H63" s="187">
        <f t="shared" si="1"/>
        <v>0</v>
      </c>
    </row>
    <row r="64" spans="1:8" x14ac:dyDescent="0.25">
      <c r="A64" s="179" t="s">
        <v>160</v>
      </c>
      <c r="B64" s="179" t="s">
        <v>161</v>
      </c>
      <c r="C64" s="181">
        <v>25676.959999999999</v>
      </c>
      <c r="D64" s="181">
        <v>5001.67</v>
      </c>
      <c r="E64" s="181">
        <v>30678.63</v>
      </c>
      <c r="G64" s="187">
        <v>5001.67</v>
      </c>
      <c r="H64" s="187">
        <f t="shared" si="1"/>
        <v>0</v>
      </c>
    </row>
    <row r="65" spans="1:8" x14ac:dyDescent="0.25">
      <c r="A65" s="179" t="s">
        <v>162</v>
      </c>
      <c r="B65" s="179" t="s">
        <v>163</v>
      </c>
      <c r="C65" s="181">
        <v>341349.29</v>
      </c>
      <c r="D65" s="181">
        <v>113792.29</v>
      </c>
      <c r="E65" s="181">
        <v>455141.58</v>
      </c>
      <c r="G65" s="187">
        <v>113792.29</v>
      </c>
      <c r="H65" s="187">
        <f t="shared" si="1"/>
        <v>0</v>
      </c>
    </row>
    <row r="66" spans="1:8" x14ac:dyDescent="0.25">
      <c r="A66" s="182" t="s">
        <v>164</v>
      </c>
      <c r="B66" s="183"/>
      <c r="C66" s="184">
        <f>SUM(C62:C65)</f>
        <v>4529766.51</v>
      </c>
      <c r="D66" s="184">
        <f>SUM(D62:D65)</f>
        <v>1364313.66</v>
      </c>
      <c r="E66" s="184">
        <f>SUM(E62:E65)</f>
        <v>5894080.1699999999</v>
      </c>
      <c r="G66" s="187">
        <v>1364313.66</v>
      </c>
      <c r="H66" s="187">
        <f t="shared" si="1"/>
        <v>0</v>
      </c>
    </row>
    <row r="67" spans="1:8" x14ac:dyDescent="0.25">
      <c r="H67" s="187">
        <f t="shared" si="1"/>
        <v>0</v>
      </c>
    </row>
    <row r="68" spans="1:8" x14ac:dyDescent="0.25">
      <c r="A68" s="182" t="s">
        <v>31</v>
      </c>
      <c r="B68" s="183"/>
      <c r="C68" s="184">
        <f>C14+C20+C26+C32+C38+C44+C46+C54+C60+C66</f>
        <v>-198973866.81999967</v>
      </c>
      <c r="D68" s="184">
        <f>D14+D20+D26+D32+D38+D44+D46+D54+D60+D66</f>
        <v>105691383.3999998</v>
      </c>
      <c r="E68" s="184">
        <f>E14+E20+E26+E32+E38+E44+E46+E54+E60+E66</f>
        <v>-93282483.41999948</v>
      </c>
      <c r="G68" s="229">
        <v>105691383.3999998</v>
      </c>
      <c r="H68" s="187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G12" sqref="G12"/>
    </sheetView>
  </sheetViews>
  <sheetFormatPr defaultRowHeight="13.2" x14ac:dyDescent="0.25"/>
  <cols>
    <col min="1" max="1" width="43.88671875" style="185" customWidth="1"/>
    <col min="2" max="2" width="24.5546875" style="185" customWidth="1"/>
    <col min="3" max="3" width="21.5546875" style="181" customWidth="1"/>
    <col min="4" max="4" width="22" style="181" customWidth="1"/>
    <col min="5" max="5" width="26.33203125" style="18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206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207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91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370031623.14999998</v>
      </c>
      <c r="D9" s="256">
        <f>184188845.43+1289.16</f>
        <v>184190134.59</v>
      </c>
      <c r="E9" s="180">
        <v>554220468.58000004</v>
      </c>
    </row>
    <row r="10" spans="1:5" x14ac:dyDescent="0.25">
      <c r="A10" s="179" t="s">
        <v>94</v>
      </c>
      <c r="B10" s="179" t="s">
        <v>35</v>
      </c>
      <c r="C10" s="181">
        <v>649893995.25999999</v>
      </c>
      <c r="D10" s="255">
        <f>323263543.24+2310.21</f>
        <v>323265853.44999999</v>
      </c>
      <c r="E10" s="181">
        <v>973157538.5</v>
      </c>
    </row>
    <row r="11" spans="1:5" x14ac:dyDescent="0.25">
      <c r="A11" s="179" t="s">
        <v>95</v>
      </c>
      <c r="B11" s="179" t="s">
        <v>36</v>
      </c>
      <c r="C11" s="181">
        <v>192769605.11000001</v>
      </c>
      <c r="D11" s="255">
        <f>96044527.03+684.64</f>
        <v>96045211.670000002</v>
      </c>
      <c r="E11" s="181">
        <v>288814132.13999999</v>
      </c>
    </row>
    <row r="12" spans="1:5" x14ac:dyDescent="0.25">
      <c r="A12" s="179" t="s">
        <v>96</v>
      </c>
      <c r="B12" s="179" t="s">
        <v>37</v>
      </c>
      <c r="C12" s="181">
        <v>33342260.57</v>
      </c>
      <c r="D12" s="255">
        <f>16597815.05+118.63</f>
        <v>16597933.680000002</v>
      </c>
      <c r="E12" s="181">
        <v>49940075.619999997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1246037484.0899999</v>
      </c>
      <c r="D14" s="184">
        <f>SUM(D9:D13)</f>
        <v>620099133.38999987</v>
      </c>
      <c r="E14" s="184">
        <f>SUM(E9:E13)</f>
        <v>1866132214.8399997</v>
      </c>
    </row>
    <row r="16" spans="1:5" x14ac:dyDescent="0.25">
      <c r="A16" s="179" t="s">
        <v>99</v>
      </c>
      <c r="B16" s="179" t="s">
        <v>100</v>
      </c>
      <c r="C16" s="181">
        <v>162685.01999999999</v>
      </c>
      <c r="D16" s="181">
        <v>148543.26999999999</v>
      </c>
      <c r="E16" s="181">
        <v>311228.28999999998</v>
      </c>
    </row>
    <row r="17" spans="1:5" x14ac:dyDescent="0.25">
      <c r="A17" s="179" t="s">
        <v>101</v>
      </c>
      <c r="B17" s="179" t="s">
        <v>102</v>
      </c>
      <c r="C17" s="181">
        <v>267472.18</v>
      </c>
      <c r="D17" s="181">
        <v>261150.33</v>
      </c>
      <c r="E17" s="181">
        <v>528622.51</v>
      </c>
    </row>
    <row r="18" spans="1:5" x14ac:dyDescent="0.25">
      <c r="A18" s="179" t="s">
        <v>103</v>
      </c>
      <c r="B18" s="179" t="s">
        <v>104</v>
      </c>
      <c r="C18" s="181">
        <v>89792</v>
      </c>
      <c r="D18" s="181">
        <v>77344.02</v>
      </c>
      <c r="E18" s="181">
        <v>167136.01999999999</v>
      </c>
    </row>
    <row r="19" spans="1:5" x14ac:dyDescent="0.25">
      <c r="A19" s="179" t="s">
        <v>105</v>
      </c>
      <c r="B19" s="179" t="s">
        <v>106</v>
      </c>
      <c r="C19" s="181">
        <v>13966.12</v>
      </c>
      <c r="D19" s="181">
        <v>13310.05</v>
      </c>
      <c r="E19" s="181">
        <v>27276.17</v>
      </c>
    </row>
    <row r="20" spans="1:5" x14ac:dyDescent="0.25">
      <c r="A20" s="182" t="s">
        <v>107</v>
      </c>
      <c r="B20" s="183"/>
      <c r="C20" s="184">
        <f>SUM(C16:C19)</f>
        <v>533915.31999999995</v>
      </c>
      <c r="D20" s="184">
        <f>SUM(D16:D19)</f>
        <v>500347.67</v>
      </c>
      <c r="E20" s="184">
        <f>SUM(E16:E19)</f>
        <v>1034262.9900000001</v>
      </c>
    </row>
    <row r="22" spans="1:5" x14ac:dyDescent="0.25">
      <c r="A22" s="179" t="s">
        <v>108</v>
      </c>
      <c r="B22" s="179" t="s">
        <v>109</v>
      </c>
      <c r="C22" s="181">
        <v>146861.76999999999</v>
      </c>
      <c r="D22" s="181">
        <v>63023</v>
      </c>
      <c r="E22" s="181">
        <v>209884.77</v>
      </c>
    </row>
    <row r="23" spans="1:5" x14ac:dyDescent="0.25">
      <c r="A23" s="179" t="s">
        <v>110</v>
      </c>
      <c r="B23" s="179" t="s">
        <v>111</v>
      </c>
      <c r="C23" s="181">
        <v>258059.18</v>
      </c>
      <c r="D23" s="181">
        <v>110741.35</v>
      </c>
      <c r="E23" s="181">
        <v>368800.53</v>
      </c>
    </row>
    <row r="24" spans="1:5" x14ac:dyDescent="0.25">
      <c r="A24" s="179" t="s">
        <v>112</v>
      </c>
      <c r="B24" s="179" t="s">
        <v>113</v>
      </c>
      <c r="C24" s="181">
        <v>76472.960000000006</v>
      </c>
      <c r="D24" s="181">
        <v>32816.99</v>
      </c>
      <c r="E24" s="181">
        <v>109289.95</v>
      </c>
    </row>
    <row r="25" spans="1:5" x14ac:dyDescent="0.25">
      <c r="A25" s="179" t="s">
        <v>114</v>
      </c>
      <c r="B25" s="179" t="s">
        <v>115</v>
      </c>
      <c r="C25" s="181">
        <v>13256.63</v>
      </c>
      <c r="D25" s="181">
        <v>5688.83</v>
      </c>
      <c r="E25" s="181">
        <v>18945.46</v>
      </c>
    </row>
    <row r="26" spans="1:5" x14ac:dyDescent="0.25">
      <c r="A26" s="182" t="s">
        <v>116</v>
      </c>
      <c r="B26" s="183"/>
      <c r="C26" s="184">
        <f>SUM(C22:C25)</f>
        <v>494650.54</v>
      </c>
      <c r="D26" s="184">
        <f>SUM(D22:D25)</f>
        <v>212270.16999999998</v>
      </c>
      <c r="E26" s="184">
        <f>SUM(E22:E25)</f>
        <v>706920.71</v>
      </c>
    </row>
    <row r="28" spans="1:5" x14ac:dyDescent="0.25">
      <c r="A28" s="179" t="s">
        <v>117</v>
      </c>
      <c r="B28" s="179" t="s">
        <v>118</v>
      </c>
      <c r="C28" s="181">
        <v>1619.62</v>
      </c>
      <c r="D28" s="181">
        <v>0</v>
      </c>
      <c r="E28" s="181">
        <v>1619.62</v>
      </c>
    </row>
    <row r="29" spans="1:5" x14ac:dyDescent="0.25">
      <c r="A29" s="179" t="s">
        <v>119</v>
      </c>
      <c r="B29" s="179" t="s">
        <v>120</v>
      </c>
      <c r="C29" s="181">
        <v>2845.41</v>
      </c>
      <c r="D29" s="181">
        <v>0</v>
      </c>
      <c r="E29" s="181">
        <v>2845.41</v>
      </c>
    </row>
    <row r="30" spans="1:5" x14ac:dyDescent="0.25">
      <c r="A30" s="179" t="s">
        <v>121</v>
      </c>
      <c r="B30" s="179" t="s">
        <v>122</v>
      </c>
      <c r="C30" s="181">
        <v>843.24</v>
      </c>
      <c r="D30" s="181">
        <v>0</v>
      </c>
      <c r="E30" s="181">
        <v>843.24</v>
      </c>
    </row>
    <row r="31" spans="1:5" x14ac:dyDescent="0.25">
      <c r="A31" s="179" t="s">
        <v>123</v>
      </c>
      <c r="B31" s="179" t="s">
        <v>124</v>
      </c>
      <c r="C31" s="181">
        <v>146.13</v>
      </c>
      <c r="D31" s="181">
        <v>0</v>
      </c>
      <c r="E31" s="181">
        <v>146.13</v>
      </c>
    </row>
    <row r="32" spans="1:5" x14ac:dyDescent="0.25">
      <c r="A32" s="182" t="s">
        <v>125</v>
      </c>
      <c r="B32" s="183"/>
      <c r="C32" s="184">
        <f>SUM(C28:C31)</f>
        <v>5454.4</v>
      </c>
      <c r="D32" s="184">
        <f>SUM(D28:D31)</f>
        <v>0</v>
      </c>
      <c r="E32" s="184">
        <f>SUM(E28:E31)</f>
        <v>5454.4</v>
      </c>
    </row>
    <row r="34" spans="1:5" x14ac:dyDescent="0.25">
      <c r="A34" s="179" t="s">
        <v>126</v>
      </c>
      <c r="B34" s="179" t="s">
        <v>127</v>
      </c>
      <c r="C34" s="181">
        <v>855105.68</v>
      </c>
      <c r="D34" s="181">
        <v>-1891042.32</v>
      </c>
      <c r="E34" s="181">
        <v>-1035936.64</v>
      </c>
    </row>
    <row r="35" spans="1:5" x14ac:dyDescent="0.25">
      <c r="A35" s="179" t="s">
        <v>128</v>
      </c>
      <c r="B35" s="179" t="s">
        <v>129</v>
      </c>
      <c r="C35" s="181">
        <v>721368.36</v>
      </c>
      <c r="D35" s="181">
        <v>-3775090.79</v>
      </c>
      <c r="E35" s="181">
        <v>-3053722.43</v>
      </c>
    </row>
    <row r="36" spans="1:5" x14ac:dyDescent="0.25">
      <c r="A36" s="179" t="s">
        <v>130</v>
      </c>
      <c r="B36" s="179" t="s">
        <v>131</v>
      </c>
      <c r="C36" s="181">
        <v>184814.76</v>
      </c>
      <c r="D36" s="181">
        <v>-556953.15</v>
      </c>
      <c r="E36" s="181">
        <v>-372138.39</v>
      </c>
    </row>
    <row r="37" spans="1:5" x14ac:dyDescent="0.25">
      <c r="A37" s="179" t="s">
        <v>132</v>
      </c>
      <c r="B37" s="179" t="s">
        <v>133</v>
      </c>
      <c r="C37" s="181">
        <v>36280.11</v>
      </c>
      <c r="D37" s="181">
        <v>-193904.93</v>
      </c>
      <c r="E37" s="181">
        <v>-157624.82</v>
      </c>
    </row>
    <row r="38" spans="1:5" x14ac:dyDescent="0.25">
      <c r="A38" s="182" t="s">
        <v>134</v>
      </c>
      <c r="B38" s="183"/>
      <c r="C38" s="184">
        <f>SUM(C34:C37)</f>
        <v>1797568.9100000001</v>
      </c>
      <c r="D38" s="184">
        <f>SUM(D34:D37)</f>
        <v>-6416991.1900000004</v>
      </c>
      <c r="E38" s="184">
        <f>SUM(E34:E37)</f>
        <v>-4619422.28</v>
      </c>
    </row>
    <row r="40" spans="1:5" x14ac:dyDescent="0.25">
      <c r="A40" s="179" t="s">
        <v>135</v>
      </c>
      <c r="B40" s="179" t="s">
        <v>136</v>
      </c>
      <c r="C40" s="181">
        <v>-472363689.54000002</v>
      </c>
      <c r="D40" s="181">
        <v>-101992218.39</v>
      </c>
      <c r="E40" s="181">
        <v>-574355907.92999995</v>
      </c>
    </row>
    <row r="41" spans="1:5" x14ac:dyDescent="0.25">
      <c r="A41" s="179" t="s">
        <v>137</v>
      </c>
      <c r="B41" s="179" t="s">
        <v>138</v>
      </c>
      <c r="C41" s="181">
        <v>-771713208</v>
      </c>
      <c r="D41" s="181">
        <v>-388317084</v>
      </c>
      <c r="E41" s="181">
        <v>-1160030292</v>
      </c>
    </row>
    <row r="42" spans="1:5" x14ac:dyDescent="0.25">
      <c r="A42" s="179" t="s">
        <v>139</v>
      </c>
      <c r="B42" s="179" t="s">
        <v>140</v>
      </c>
      <c r="C42" s="181">
        <v>-188409605</v>
      </c>
      <c r="D42" s="181">
        <v>-100785673.34</v>
      </c>
      <c r="E42" s="181">
        <v>-289195278.33999997</v>
      </c>
    </row>
    <row r="43" spans="1:5" x14ac:dyDescent="0.25">
      <c r="A43" s="179" t="s">
        <v>141</v>
      </c>
      <c r="B43" s="179" t="s">
        <v>142</v>
      </c>
      <c r="C43" s="181">
        <v>-13910475.789999999</v>
      </c>
      <c r="D43" s="181">
        <v>-7415742.46</v>
      </c>
      <c r="E43" s="181">
        <v>-21326218.25</v>
      </c>
    </row>
    <row r="44" spans="1:5" x14ac:dyDescent="0.25">
      <c r="A44" s="182" t="s">
        <v>143</v>
      </c>
      <c r="B44" s="183"/>
      <c r="C44" s="184">
        <f>SUM(C40:C43)</f>
        <v>-1446396978.3299999</v>
      </c>
      <c r="D44" s="184">
        <f>SUM(D40:D43)</f>
        <v>-598510718.19000006</v>
      </c>
      <c r="E44" s="184">
        <f>SUM(E40:E43)</f>
        <v>-2044907696.5199997</v>
      </c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6" spans="1:5" x14ac:dyDescent="0.25">
      <c r="A56" s="179" t="s">
        <v>151</v>
      </c>
      <c r="B56" s="179" t="s">
        <v>40</v>
      </c>
      <c r="C56" s="181">
        <v>-14030733.76</v>
      </c>
      <c r="D56" s="181">
        <v>-4507861.8099999996</v>
      </c>
      <c r="E56" s="181">
        <v>-18538595.57</v>
      </c>
    </row>
    <row r="57" spans="1:5" x14ac:dyDescent="0.25">
      <c r="A57" s="179" t="s">
        <v>152</v>
      </c>
      <c r="B57" s="179" t="s">
        <v>41</v>
      </c>
      <c r="C57" s="181">
        <v>-2989160.16</v>
      </c>
      <c r="D57" s="181">
        <v>1360930.46</v>
      </c>
      <c r="E57" s="181">
        <v>-1628229.7</v>
      </c>
    </row>
    <row r="58" spans="1:5" x14ac:dyDescent="0.25">
      <c r="A58" s="179" t="s">
        <v>153</v>
      </c>
      <c r="B58" s="179" t="s">
        <v>42</v>
      </c>
      <c r="C58" s="181">
        <v>-256594.62</v>
      </c>
      <c r="D58" s="181">
        <v>592277.15</v>
      </c>
      <c r="E58" s="181">
        <v>335682.53</v>
      </c>
    </row>
    <row r="59" spans="1:5" x14ac:dyDescent="0.25">
      <c r="A59" s="179" t="s">
        <v>154</v>
      </c>
      <c r="B59" s="179" t="s">
        <v>43</v>
      </c>
      <c r="C59" s="181">
        <v>-1321599.3500000001</v>
      </c>
      <c r="D59" s="181">
        <v>-698222.62</v>
      </c>
      <c r="E59" s="181">
        <v>-2019821.97</v>
      </c>
    </row>
    <row r="60" spans="1:5" x14ac:dyDescent="0.25">
      <c r="A60" s="182" t="s">
        <v>155</v>
      </c>
      <c r="B60" s="183"/>
      <c r="C60" s="184">
        <f>SUM(C56:C59)</f>
        <v>-18598087.890000004</v>
      </c>
      <c r="D60" s="184">
        <f>SUM(D56:D59)</f>
        <v>-3252876.82</v>
      </c>
      <c r="E60" s="184">
        <f>SUM(E56:E59)</f>
        <v>-21850964.709999997</v>
      </c>
    </row>
    <row r="62" spans="1:5" x14ac:dyDescent="0.25">
      <c r="A62" s="179" t="s">
        <v>156</v>
      </c>
      <c r="B62" s="179" t="s">
        <v>157</v>
      </c>
      <c r="C62" s="181">
        <v>2715900.93</v>
      </c>
      <c r="D62" s="181">
        <v>1237912.99</v>
      </c>
      <c r="E62" s="181">
        <v>3953813.92</v>
      </c>
    </row>
    <row r="63" spans="1:5" x14ac:dyDescent="0.25">
      <c r="A63" s="179" t="s">
        <v>158</v>
      </c>
      <c r="B63" s="179" t="s">
        <v>159</v>
      </c>
      <c r="C63" s="181">
        <v>159608.31</v>
      </c>
      <c r="D63" s="181">
        <v>49318.02</v>
      </c>
      <c r="E63" s="181">
        <v>208926.33</v>
      </c>
    </row>
    <row r="64" spans="1:5" x14ac:dyDescent="0.25">
      <c r="A64" s="179" t="s">
        <v>160</v>
      </c>
      <c r="B64" s="179" t="s">
        <v>161</v>
      </c>
      <c r="C64" s="181">
        <v>19427.919999999998</v>
      </c>
      <c r="D64" s="181">
        <v>6249.04</v>
      </c>
      <c r="E64" s="181">
        <v>25676.959999999999</v>
      </c>
    </row>
    <row r="65" spans="1:5" x14ac:dyDescent="0.25">
      <c r="A65" s="179" t="s">
        <v>162</v>
      </c>
      <c r="B65" s="179" t="s">
        <v>163</v>
      </c>
      <c r="C65" s="181">
        <v>227346.55</v>
      </c>
      <c r="D65" s="181">
        <v>114002.74</v>
      </c>
      <c r="E65" s="181">
        <v>341349.29</v>
      </c>
    </row>
    <row r="66" spans="1:5" x14ac:dyDescent="0.25">
      <c r="A66" s="182" t="s">
        <v>164</v>
      </c>
      <c r="B66" s="183"/>
      <c r="C66" s="184">
        <f>SUM(C62:C65)</f>
        <v>3122283.71</v>
      </c>
      <c r="D66" s="184">
        <f>SUM(D62:D65)</f>
        <v>1407482.79</v>
      </c>
      <c r="E66" s="184">
        <f>SUM(E62:E65)</f>
        <v>4529766.5</v>
      </c>
    </row>
    <row r="68" spans="1:5" x14ac:dyDescent="0.25">
      <c r="A68" s="182" t="s">
        <v>31</v>
      </c>
      <c r="B68" s="183"/>
      <c r="C68" s="184">
        <f>C14+C20+C26+C32+C38+C44+C46+C54+C60+C66</f>
        <v>-213003709.24999994</v>
      </c>
      <c r="D68" s="184">
        <f>D14+D20+D26+D32+D38+D44+D46+D54+D60+D66</f>
        <v>14038647.819999665</v>
      </c>
      <c r="E68" s="184">
        <f>E14+E20+E26+E32+E38+E44+E46+E54+E60+E66</f>
        <v>-198969464.0699999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9" workbookViewId="0">
      <selection activeCell="E14" sqref="E14"/>
    </sheetView>
  </sheetViews>
  <sheetFormatPr defaultRowHeight="13.2" x14ac:dyDescent="0.25"/>
  <cols>
    <col min="1" max="1" width="30.5546875" customWidth="1"/>
    <col min="2" max="2" width="19.5546875" customWidth="1"/>
    <col min="3" max="3" width="16.109375" customWidth="1"/>
    <col min="4" max="4" width="16.6640625" customWidth="1"/>
    <col min="5" max="5" width="17.6640625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203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204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205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185611365.80000001</v>
      </c>
      <c r="D9" s="180">
        <v>184420257.34999999</v>
      </c>
      <c r="E9" s="180">
        <v>370031623.14999998</v>
      </c>
    </row>
    <row r="10" spans="1:5" x14ac:dyDescent="0.25">
      <c r="A10" s="179" t="s">
        <v>94</v>
      </c>
      <c r="B10" s="179" t="s">
        <v>35</v>
      </c>
      <c r="C10" s="181">
        <v>326243675.63999999</v>
      </c>
      <c r="D10" s="181">
        <v>323650319.62</v>
      </c>
      <c r="E10" s="181">
        <v>649893995.25999999</v>
      </c>
    </row>
    <row r="11" spans="1:5" x14ac:dyDescent="0.25">
      <c r="A11" s="179" t="s">
        <v>95</v>
      </c>
      <c r="B11" s="179" t="s">
        <v>36</v>
      </c>
      <c r="C11" s="181">
        <v>96640155.180000007</v>
      </c>
      <c r="D11" s="181">
        <v>96129449.930000007</v>
      </c>
      <c r="E11" s="181">
        <v>192769605.11000001</v>
      </c>
    </row>
    <row r="12" spans="1:5" x14ac:dyDescent="0.25">
      <c r="A12" s="179" t="s">
        <v>96</v>
      </c>
      <c r="B12" s="179" t="s">
        <v>37</v>
      </c>
      <c r="C12" s="181">
        <v>16730409.109999999</v>
      </c>
      <c r="D12" s="181">
        <v>16611851.460000001</v>
      </c>
      <c r="E12" s="181">
        <v>33342260.57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625225605.73000002</v>
      </c>
      <c r="D14" s="184">
        <f>SUM(D9:D13)</f>
        <v>620811878.36000013</v>
      </c>
      <c r="E14" s="184">
        <f>SUM(E9:E13)</f>
        <v>1246037484.0899999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59177.120000000003</v>
      </c>
      <c r="D16" s="181">
        <v>103507.9</v>
      </c>
      <c r="E16" s="181">
        <v>162685.01999999999</v>
      </c>
    </row>
    <row r="17" spans="1:5" x14ac:dyDescent="0.25">
      <c r="A17" s="179" t="s">
        <v>101</v>
      </c>
      <c r="B17" s="179" t="s">
        <v>102</v>
      </c>
      <c r="C17" s="181">
        <v>85507.32</v>
      </c>
      <c r="D17" s="181">
        <v>181964.86</v>
      </c>
      <c r="E17" s="181">
        <v>267472.18</v>
      </c>
    </row>
    <row r="18" spans="1:5" x14ac:dyDescent="0.25">
      <c r="A18" s="179" t="s">
        <v>103</v>
      </c>
      <c r="B18" s="179" t="s">
        <v>104</v>
      </c>
      <c r="C18" s="181">
        <v>35889.11</v>
      </c>
      <c r="D18" s="181">
        <v>53902.89</v>
      </c>
      <c r="E18" s="181">
        <v>89792</v>
      </c>
    </row>
    <row r="19" spans="1:5" x14ac:dyDescent="0.25">
      <c r="A19" s="179" t="s">
        <v>105</v>
      </c>
      <c r="B19" s="179" t="s">
        <v>106</v>
      </c>
      <c r="C19" s="181">
        <v>4597.0200000000004</v>
      </c>
      <c r="D19" s="181">
        <v>9369.1</v>
      </c>
      <c r="E19" s="181">
        <v>13966.12</v>
      </c>
    </row>
    <row r="20" spans="1:5" x14ac:dyDescent="0.25">
      <c r="A20" s="182" t="s">
        <v>107</v>
      </c>
      <c r="B20" s="183"/>
      <c r="C20" s="184">
        <f>SUM(C16:C19)</f>
        <v>185170.56999999998</v>
      </c>
      <c r="D20" s="184">
        <f>SUM(D16:D19)</f>
        <v>348744.75</v>
      </c>
      <c r="E20" s="184">
        <f>SUM(E16:E19)</f>
        <v>533915.31999999995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85196.42</v>
      </c>
      <c r="D22" s="181">
        <v>61665.35</v>
      </c>
      <c r="E22" s="181">
        <v>146861.76999999999</v>
      </c>
    </row>
    <row r="23" spans="1:5" x14ac:dyDescent="0.25">
      <c r="A23" s="179" t="s">
        <v>110</v>
      </c>
      <c r="B23" s="179" t="s">
        <v>111</v>
      </c>
      <c r="C23" s="181">
        <v>149703.49</v>
      </c>
      <c r="D23" s="181">
        <v>108355.69</v>
      </c>
      <c r="E23" s="181">
        <v>258059.18</v>
      </c>
    </row>
    <row r="24" spans="1:5" x14ac:dyDescent="0.25">
      <c r="A24" s="179" t="s">
        <v>112</v>
      </c>
      <c r="B24" s="179" t="s">
        <v>113</v>
      </c>
      <c r="C24" s="181">
        <v>44362.97</v>
      </c>
      <c r="D24" s="181">
        <v>32109.99</v>
      </c>
      <c r="E24" s="181">
        <v>76472.960000000006</v>
      </c>
    </row>
    <row r="25" spans="1:5" x14ac:dyDescent="0.25">
      <c r="A25" s="179" t="s">
        <v>114</v>
      </c>
      <c r="B25" s="179" t="s">
        <v>115</v>
      </c>
      <c r="C25" s="181">
        <v>7690.33</v>
      </c>
      <c r="D25" s="181">
        <v>5566.3</v>
      </c>
      <c r="E25" s="181">
        <v>13256.63</v>
      </c>
    </row>
    <row r="26" spans="1:5" x14ac:dyDescent="0.25">
      <c r="A26" s="182" t="s">
        <v>116</v>
      </c>
      <c r="B26" s="183"/>
      <c r="C26" s="184">
        <f>SUM(C22:C25)</f>
        <v>286953.21000000002</v>
      </c>
      <c r="D26" s="184">
        <f>SUM(D22:D25)</f>
        <v>207697.33</v>
      </c>
      <c r="E26" s="184">
        <f>SUM(E22:E25)</f>
        <v>494650.54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1619.62</v>
      </c>
      <c r="D28" s="181">
        <v>0</v>
      </c>
      <c r="E28" s="181">
        <v>1619.62</v>
      </c>
    </row>
    <row r="29" spans="1:5" x14ac:dyDescent="0.25">
      <c r="A29" s="179" t="s">
        <v>119</v>
      </c>
      <c r="B29" s="179" t="s">
        <v>120</v>
      </c>
      <c r="C29" s="181">
        <v>2845.41</v>
      </c>
      <c r="D29" s="181">
        <v>0</v>
      </c>
      <c r="E29" s="181">
        <v>2845.41</v>
      </c>
    </row>
    <row r="30" spans="1:5" x14ac:dyDescent="0.25">
      <c r="A30" s="179" t="s">
        <v>121</v>
      </c>
      <c r="B30" s="179" t="s">
        <v>122</v>
      </c>
      <c r="C30" s="181">
        <v>843.24</v>
      </c>
      <c r="D30" s="181">
        <v>0</v>
      </c>
      <c r="E30" s="181">
        <v>843.24</v>
      </c>
    </row>
    <row r="31" spans="1:5" x14ac:dyDescent="0.25">
      <c r="A31" s="179" t="s">
        <v>123</v>
      </c>
      <c r="B31" s="179" t="s">
        <v>124</v>
      </c>
      <c r="C31" s="181">
        <v>146.13</v>
      </c>
      <c r="D31" s="181">
        <v>0</v>
      </c>
      <c r="E31" s="181">
        <v>146.13</v>
      </c>
    </row>
    <row r="32" spans="1:5" x14ac:dyDescent="0.25">
      <c r="A32" s="182" t="s">
        <v>125</v>
      </c>
      <c r="B32" s="183"/>
      <c r="C32" s="184">
        <f>SUM(C28:C31)</f>
        <v>5454.4</v>
      </c>
      <c r="D32" s="184">
        <f>SUM(D28:D31)</f>
        <v>0</v>
      </c>
      <c r="E32" s="184">
        <f>SUM(E28:E31)</f>
        <v>5454.4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628533.94999999995</v>
      </c>
      <c r="D34" s="181">
        <v>226571.73</v>
      </c>
      <c r="E34" s="181">
        <v>855105.68</v>
      </c>
    </row>
    <row r="35" spans="1:5" x14ac:dyDescent="0.25">
      <c r="A35" s="179" t="s">
        <v>128</v>
      </c>
      <c r="B35" s="179" t="s">
        <v>129</v>
      </c>
      <c r="C35" s="181">
        <v>520407.71</v>
      </c>
      <c r="D35" s="181">
        <v>200960.65</v>
      </c>
      <c r="E35" s="181">
        <v>721368.36</v>
      </c>
    </row>
    <row r="36" spans="1:5" x14ac:dyDescent="0.25">
      <c r="A36" s="179" t="s">
        <v>130</v>
      </c>
      <c r="B36" s="179" t="s">
        <v>131</v>
      </c>
      <c r="C36" s="181">
        <v>100129.2</v>
      </c>
      <c r="D36" s="181">
        <v>84685.56</v>
      </c>
      <c r="E36" s="181">
        <v>184814.76</v>
      </c>
    </row>
    <row r="37" spans="1:5" x14ac:dyDescent="0.25">
      <c r="A37" s="179" t="s">
        <v>132</v>
      </c>
      <c r="B37" s="179" t="s">
        <v>133</v>
      </c>
      <c r="C37" s="181">
        <v>25345.05</v>
      </c>
      <c r="D37" s="181">
        <v>10935.06</v>
      </c>
      <c r="E37" s="181">
        <v>36280.11</v>
      </c>
    </row>
    <row r="38" spans="1:5" x14ac:dyDescent="0.25">
      <c r="A38" s="182" t="s">
        <v>134</v>
      </c>
      <c r="B38" s="183"/>
      <c r="C38" s="184">
        <f>SUM(C34:C37)</f>
        <v>1274415.9099999999</v>
      </c>
      <c r="D38" s="184">
        <f>SUM(D34:D37)</f>
        <v>523153</v>
      </c>
      <c r="E38" s="184">
        <f>SUM(E34:E37)</f>
        <v>1797568.9100000001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-307456203.58999997</v>
      </c>
      <c r="D40" s="181">
        <v>-164907485.94999999</v>
      </c>
      <c r="E40" s="181">
        <v>-472363689.54000002</v>
      </c>
    </row>
    <row r="41" spans="1:5" x14ac:dyDescent="0.25">
      <c r="A41" s="179" t="s">
        <v>137</v>
      </c>
      <c r="B41" s="179" t="s">
        <v>138</v>
      </c>
      <c r="C41" s="181">
        <v>-392167458</v>
      </c>
      <c r="D41" s="181">
        <v>-379545750</v>
      </c>
      <c r="E41" s="181">
        <v>-771713208</v>
      </c>
    </row>
    <row r="42" spans="1:5" x14ac:dyDescent="0.25">
      <c r="A42" s="179" t="s">
        <v>139</v>
      </c>
      <c r="B42" s="179" t="s">
        <v>140</v>
      </c>
      <c r="C42" s="181">
        <v>-93423660</v>
      </c>
      <c r="D42" s="181">
        <v>-94985945</v>
      </c>
      <c r="E42" s="181">
        <v>-188409605</v>
      </c>
    </row>
    <row r="43" spans="1:5" x14ac:dyDescent="0.25">
      <c r="A43" s="179" t="s">
        <v>141</v>
      </c>
      <c r="B43" s="179" t="s">
        <v>142</v>
      </c>
      <c r="C43" s="181">
        <v>-9504194.9000000004</v>
      </c>
      <c r="D43" s="181">
        <v>-4406280.8899999997</v>
      </c>
      <c r="E43" s="181">
        <v>-13910475.789999999</v>
      </c>
    </row>
    <row r="44" spans="1:5" x14ac:dyDescent="0.25">
      <c r="A44" s="182" t="s">
        <v>143</v>
      </c>
      <c r="B44" s="183"/>
      <c r="C44" s="184">
        <f>SUM(C40:C43)</f>
        <v>-802551516.48999989</v>
      </c>
      <c r="D44" s="184">
        <f>SUM(D40:D43)</f>
        <v>-643845461.84000003</v>
      </c>
      <c r="E44" s="184">
        <f>SUM(E40:E43)</f>
        <v>-1446396978.3299999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-11174037.43</v>
      </c>
      <c r="D56" s="181">
        <v>-2856696.33</v>
      </c>
      <c r="E56" s="181">
        <v>-14030733.76</v>
      </c>
    </row>
    <row r="57" spans="1:5" x14ac:dyDescent="0.25">
      <c r="A57" s="179" t="s">
        <v>152</v>
      </c>
      <c r="B57" s="179" t="s">
        <v>41</v>
      </c>
      <c r="C57" s="181">
        <v>2029575.97</v>
      </c>
      <c r="D57" s="181">
        <v>-5018736.13</v>
      </c>
      <c r="E57" s="181">
        <v>-2989160.16</v>
      </c>
    </row>
    <row r="58" spans="1:5" x14ac:dyDescent="0.25">
      <c r="A58" s="179" t="s">
        <v>153</v>
      </c>
      <c r="B58" s="179" t="s">
        <v>42</v>
      </c>
      <c r="C58" s="181">
        <v>1230722.29</v>
      </c>
      <c r="D58" s="181">
        <v>-1487316.91</v>
      </c>
      <c r="E58" s="181">
        <v>-256594.62</v>
      </c>
    </row>
    <row r="59" spans="1:5" x14ac:dyDescent="0.25">
      <c r="A59" s="179" t="s">
        <v>154</v>
      </c>
      <c r="B59" s="179" t="s">
        <v>43</v>
      </c>
      <c r="C59" s="181">
        <v>-1063866.6399999999</v>
      </c>
      <c r="D59" s="181">
        <v>-257732.71</v>
      </c>
      <c r="E59" s="181">
        <v>-1321599.3500000001</v>
      </c>
    </row>
    <row r="60" spans="1:5" x14ac:dyDescent="0.25">
      <c r="A60" s="182" t="s">
        <v>155</v>
      </c>
      <c r="B60" s="183"/>
      <c r="C60" s="184">
        <f>SUM(C56:C59)</f>
        <v>-8977605.8099999987</v>
      </c>
      <c r="D60" s="184">
        <f>SUM(D56:D59)</f>
        <v>-9620482.0800000001</v>
      </c>
      <c r="E60" s="184">
        <f>SUM(E56:E59)</f>
        <v>-18598087.890000004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1446055.48</v>
      </c>
      <c r="D62" s="181">
        <v>1269845.45</v>
      </c>
      <c r="E62" s="181">
        <v>2715900.93</v>
      </c>
    </row>
    <row r="63" spans="1:5" x14ac:dyDescent="0.25">
      <c r="A63" s="179" t="s">
        <v>158</v>
      </c>
      <c r="B63" s="179" t="s">
        <v>159</v>
      </c>
      <c r="C63" s="181">
        <v>90430.45</v>
      </c>
      <c r="D63" s="181">
        <v>69177.86</v>
      </c>
      <c r="E63" s="181">
        <v>159608.31</v>
      </c>
    </row>
    <row r="64" spans="1:5" x14ac:dyDescent="0.25">
      <c r="A64" s="179" t="s">
        <v>160</v>
      </c>
      <c r="B64" s="179" t="s">
        <v>161</v>
      </c>
      <c r="C64" s="181">
        <v>11650.9</v>
      </c>
      <c r="D64" s="181">
        <v>7777.02</v>
      </c>
      <c r="E64" s="181">
        <v>19427.919999999998</v>
      </c>
    </row>
    <row r="65" spans="1:5" x14ac:dyDescent="0.25">
      <c r="A65" s="179" t="s">
        <v>162</v>
      </c>
      <c r="B65" s="179" t="s">
        <v>163</v>
      </c>
      <c r="C65" s="181">
        <v>116921.55</v>
      </c>
      <c r="D65" s="181">
        <v>110425</v>
      </c>
      <c r="E65" s="181">
        <v>227346.55</v>
      </c>
    </row>
    <row r="66" spans="1:5" x14ac:dyDescent="0.25">
      <c r="A66" s="182" t="s">
        <v>164</v>
      </c>
      <c r="B66" s="183"/>
      <c r="C66" s="184">
        <f>SUM(C62:C65)</f>
        <v>1665058.38</v>
      </c>
      <c r="D66" s="184">
        <f>SUM(D62:D65)</f>
        <v>1457225.33</v>
      </c>
      <c r="E66" s="184">
        <f>SUM(E62:E65)</f>
        <v>3122283.71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-182886464.09999985</v>
      </c>
      <c r="D68" s="184">
        <f>D14+D20+D26+D32+D38+D44+D46+D54+D60+D66</f>
        <v>-30117245.149999857</v>
      </c>
      <c r="E68" s="184">
        <f>E14+E20+E26+E32+E38+E44+E46+E54+E60+E66</f>
        <v>-213003709.24999994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" workbookViewId="0">
      <selection activeCell="E9" sqref="E9"/>
    </sheetView>
  </sheetViews>
  <sheetFormatPr defaultRowHeight="13.2" x14ac:dyDescent="0.25"/>
  <cols>
    <col min="1" max="1" width="30.109375" style="185" customWidth="1"/>
    <col min="2" max="2" width="32.109375" style="185" customWidth="1"/>
    <col min="3" max="5" width="21.44140625" style="18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200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201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202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0</v>
      </c>
      <c r="D9" s="180">
        <v>185611365.80000001</v>
      </c>
      <c r="E9" s="180">
        <v>185611365.80000001</v>
      </c>
    </row>
    <row r="10" spans="1:5" x14ac:dyDescent="0.25">
      <c r="A10" s="179" t="s">
        <v>94</v>
      </c>
      <c r="B10" s="179" t="s">
        <v>35</v>
      </c>
      <c r="C10" s="181">
        <v>0</v>
      </c>
      <c r="D10" s="181">
        <v>326243675.63999999</v>
      </c>
      <c r="E10" s="181">
        <v>326243675.63999999</v>
      </c>
    </row>
    <row r="11" spans="1:5" x14ac:dyDescent="0.25">
      <c r="A11" s="179" t="s">
        <v>95</v>
      </c>
      <c r="B11" s="179" t="s">
        <v>36</v>
      </c>
      <c r="C11" s="181">
        <v>0</v>
      </c>
      <c r="D11" s="181">
        <v>96640155.180000007</v>
      </c>
      <c r="E11" s="181">
        <v>96640155.180000007</v>
      </c>
    </row>
    <row r="12" spans="1:5" x14ac:dyDescent="0.25">
      <c r="A12" s="179" t="s">
        <v>96</v>
      </c>
      <c r="B12" s="179" t="s">
        <v>37</v>
      </c>
      <c r="C12" s="181">
        <v>0</v>
      </c>
      <c r="D12" s="181">
        <v>16730409.109999999</v>
      </c>
      <c r="E12" s="181">
        <v>16730409.109999999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0</v>
      </c>
      <c r="D14" s="184">
        <f>SUM(D9:D13)</f>
        <v>625225605.73000002</v>
      </c>
      <c r="E14" s="184">
        <f>SUM(E9:E13)</f>
        <v>625225605.73000002</v>
      </c>
    </row>
    <row r="16" spans="1:5" x14ac:dyDescent="0.25">
      <c r="A16" s="179" t="s">
        <v>99</v>
      </c>
      <c r="B16" s="179" t="s">
        <v>100</v>
      </c>
      <c r="C16" s="181">
        <v>0</v>
      </c>
      <c r="D16" s="181">
        <v>59177.120000000003</v>
      </c>
      <c r="E16" s="181">
        <v>59177.120000000003</v>
      </c>
    </row>
    <row r="17" spans="1:5" x14ac:dyDescent="0.25">
      <c r="A17" s="179" t="s">
        <v>101</v>
      </c>
      <c r="B17" s="179" t="s">
        <v>102</v>
      </c>
      <c r="C17" s="181">
        <v>0</v>
      </c>
      <c r="D17" s="181">
        <v>85507.32</v>
      </c>
      <c r="E17" s="181">
        <v>85507.32</v>
      </c>
    </row>
    <row r="18" spans="1:5" x14ac:dyDescent="0.25">
      <c r="A18" s="179" t="s">
        <v>103</v>
      </c>
      <c r="B18" s="179" t="s">
        <v>104</v>
      </c>
      <c r="C18" s="181">
        <v>0</v>
      </c>
      <c r="D18" s="181">
        <v>35889.11</v>
      </c>
      <c r="E18" s="181">
        <v>35889.11</v>
      </c>
    </row>
    <row r="19" spans="1:5" x14ac:dyDescent="0.25">
      <c r="A19" s="179" t="s">
        <v>105</v>
      </c>
      <c r="B19" s="179" t="s">
        <v>106</v>
      </c>
      <c r="C19" s="181">
        <v>0</v>
      </c>
      <c r="D19" s="181">
        <v>4597.0200000000004</v>
      </c>
      <c r="E19" s="181">
        <v>4597.0200000000004</v>
      </c>
    </row>
    <row r="20" spans="1:5" x14ac:dyDescent="0.25">
      <c r="A20" s="182" t="s">
        <v>107</v>
      </c>
      <c r="B20" s="183"/>
      <c r="C20" s="184">
        <f>SUM(C16:C19)</f>
        <v>0</v>
      </c>
      <c r="D20" s="184">
        <f>SUM(D16:D19)</f>
        <v>185170.56999999998</v>
      </c>
      <c r="E20" s="184">
        <f>SUM(E16:E19)</f>
        <v>185170.56999999998</v>
      </c>
    </row>
    <row r="22" spans="1:5" x14ac:dyDescent="0.25">
      <c r="A22" s="179" t="s">
        <v>108</v>
      </c>
      <c r="B22" s="179" t="s">
        <v>109</v>
      </c>
      <c r="C22" s="181">
        <v>0</v>
      </c>
      <c r="D22" s="181">
        <v>85196.42</v>
      </c>
      <c r="E22" s="181">
        <v>85196.42</v>
      </c>
    </row>
    <row r="23" spans="1:5" x14ac:dyDescent="0.25">
      <c r="A23" s="179" t="s">
        <v>110</v>
      </c>
      <c r="B23" s="179" t="s">
        <v>111</v>
      </c>
      <c r="C23" s="181">
        <v>0</v>
      </c>
      <c r="D23" s="181">
        <v>149703.49</v>
      </c>
      <c r="E23" s="181">
        <v>149703.49</v>
      </c>
    </row>
    <row r="24" spans="1:5" x14ac:dyDescent="0.25">
      <c r="A24" s="179" t="s">
        <v>112</v>
      </c>
      <c r="B24" s="179" t="s">
        <v>113</v>
      </c>
      <c r="C24" s="181">
        <v>0</v>
      </c>
      <c r="D24" s="181">
        <v>44362.97</v>
      </c>
      <c r="E24" s="181">
        <v>44362.97</v>
      </c>
    </row>
    <row r="25" spans="1:5" x14ac:dyDescent="0.25">
      <c r="A25" s="179" t="s">
        <v>114</v>
      </c>
      <c r="B25" s="179" t="s">
        <v>115</v>
      </c>
      <c r="C25" s="181">
        <v>0</v>
      </c>
      <c r="D25" s="181">
        <v>7690.33</v>
      </c>
      <c r="E25" s="181">
        <v>7690.33</v>
      </c>
    </row>
    <row r="26" spans="1:5" x14ac:dyDescent="0.25">
      <c r="A26" s="182" t="s">
        <v>116</v>
      </c>
      <c r="B26" s="183"/>
      <c r="C26" s="184">
        <f>SUM(C22:C25)</f>
        <v>0</v>
      </c>
      <c r="D26" s="184">
        <f>SUM(D22:D25)</f>
        <v>286953.21000000002</v>
      </c>
      <c r="E26" s="184">
        <f>SUM(E22:E25)</f>
        <v>286953.21000000002</v>
      </c>
    </row>
    <row r="28" spans="1:5" x14ac:dyDescent="0.25">
      <c r="A28" s="179" t="s">
        <v>117</v>
      </c>
      <c r="B28" s="179" t="s">
        <v>118</v>
      </c>
      <c r="C28" s="181">
        <v>0</v>
      </c>
      <c r="D28" s="181">
        <v>1619.62</v>
      </c>
      <c r="E28" s="181">
        <v>1619.62</v>
      </c>
    </row>
    <row r="29" spans="1:5" x14ac:dyDescent="0.25">
      <c r="A29" s="179" t="s">
        <v>119</v>
      </c>
      <c r="B29" s="179" t="s">
        <v>120</v>
      </c>
      <c r="C29" s="181">
        <v>0</v>
      </c>
      <c r="D29" s="181">
        <v>2845.41</v>
      </c>
      <c r="E29" s="181">
        <v>2845.41</v>
      </c>
    </row>
    <row r="30" spans="1:5" x14ac:dyDescent="0.25">
      <c r="A30" s="179" t="s">
        <v>121</v>
      </c>
      <c r="B30" s="179" t="s">
        <v>122</v>
      </c>
      <c r="C30" s="181">
        <v>0</v>
      </c>
      <c r="D30" s="181">
        <v>843.24</v>
      </c>
      <c r="E30" s="181">
        <v>843.24</v>
      </c>
    </row>
    <row r="31" spans="1:5" x14ac:dyDescent="0.25">
      <c r="A31" s="179" t="s">
        <v>123</v>
      </c>
      <c r="B31" s="179" t="s">
        <v>124</v>
      </c>
      <c r="C31" s="181">
        <v>0</v>
      </c>
      <c r="D31" s="181">
        <v>146.13</v>
      </c>
      <c r="E31" s="181">
        <v>146.13</v>
      </c>
    </row>
    <row r="32" spans="1:5" x14ac:dyDescent="0.25">
      <c r="A32" s="182" t="s">
        <v>125</v>
      </c>
      <c r="B32" s="183"/>
      <c r="C32" s="184">
        <f>SUM(C28:C31)</f>
        <v>0</v>
      </c>
      <c r="D32" s="184">
        <f>SUM(D28:D31)</f>
        <v>5454.4</v>
      </c>
      <c r="E32" s="184">
        <f>SUM(E28:E31)</f>
        <v>5454.4</v>
      </c>
    </row>
    <row r="34" spans="1:5" x14ac:dyDescent="0.25">
      <c r="A34" s="179" t="s">
        <v>126</v>
      </c>
      <c r="B34" s="179" t="s">
        <v>127</v>
      </c>
      <c r="C34" s="181">
        <v>0</v>
      </c>
      <c r="D34" s="181">
        <v>628533.94999999995</v>
      </c>
      <c r="E34" s="181">
        <v>628533.94999999995</v>
      </c>
    </row>
    <row r="35" spans="1:5" x14ac:dyDescent="0.25">
      <c r="A35" s="179" t="s">
        <v>128</v>
      </c>
      <c r="B35" s="179" t="s">
        <v>129</v>
      </c>
      <c r="C35" s="181">
        <v>0</v>
      </c>
      <c r="D35" s="181">
        <v>520407.71</v>
      </c>
      <c r="E35" s="181">
        <v>520407.71</v>
      </c>
    </row>
    <row r="36" spans="1:5" x14ac:dyDescent="0.25">
      <c r="A36" s="179" t="s">
        <v>130</v>
      </c>
      <c r="B36" s="179" t="s">
        <v>131</v>
      </c>
      <c r="C36" s="181">
        <v>0</v>
      </c>
      <c r="D36" s="181">
        <v>100129.2</v>
      </c>
      <c r="E36" s="181">
        <v>100129.2</v>
      </c>
    </row>
    <row r="37" spans="1:5" x14ac:dyDescent="0.25">
      <c r="A37" s="179" t="s">
        <v>132</v>
      </c>
      <c r="B37" s="179" t="s">
        <v>133</v>
      </c>
      <c r="C37" s="181">
        <v>0</v>
      </c>
      <c r="D37" s="181">
        <v>25345.05</v>
      </c>
      <c r="E37" s="181">
        <v>25345.05</v>
      </c>
    </row>
    <row r="38" spans="1:5" x14ac:dyDescent="0.25">
      <c r="A38" s="182" t="s">
        <v>134</v>
      </c>
      <c r="B38" s="183"/>
      <c r="C38" s="184">
        <f>SUM(C34:C37)</f>
        <v>0</v>
      </c>
      <c r="D38" s="184">
        <f>SUM(D34:D37)</f>
        <v>1274415.9099999999</v>
      </c>
      <c r="E38" s="184">
        <f>SUM(E34:E37)</f>
        <v>1274415.9099999999</v>
      </c>
    </row>
    <row r="40" spans="1:5" x14ac:dyDescent="0.25">
      <c r="A40" s="179" t="s">
        <v>135</v>
      </c>
      <c r="B40" s="179" t="s">
        <v>136</v>
      </c>
      <c r="C40" s="181">
        <v>0</v>
      </c>
      <c r="D40" s="181">
        <v>-307456203.58999997</v>
      </c>
      <c r="E40" s="181">
        <v>-307456203.58999997</v>
      </c>
    </row>
    <row r="41" spans="1:5" x14ac:dyDescent="0.25">
      <c r="A41" s="179" t="s">
        <v>137</v>
      </c>
      <c r="B41" s="179" t="s">
        <v>138</v>
      </c>
      <c r="C41" s="181">
        <v>0</v>
      </c>
      <c r="D41" s="181">
        <v>-392167458</v>
      </c>
      <c r="E41" s="181">
        <v>-392167458</v>
      </c>
    </row>
    <row r="42" spans="1:5" x14ac:dyDescent="0.25">
      <c r="A42" s="179" t="s">
        <v>139</v>
      </c>
      <c r="B42" s="179" t="s">
        <v>140</v>
      </c>
      <c r="C42" s="181">
        <v>0</v>
      </c>
      <c r="D42" s="181">
        <v>-93423660</v>
      </c>
      <c r="E42" s="181">
        <v>-93423660</v>
      </c>
    </row>
    <row r="43" spans="1:5" x14ac:dyDescent="0.25">
      <c r="A43" s="179" t="s">
        <v>141</v>
      </c>
      <c r="B43" s="179" t="s">
        <v>142</v>
      </c>
      <c r="C43" s="181">
        <v>0</v>
      </c>
      <c r="D43" s="181">
        <v>-9504194.9000000004</v>
      </c>
      <c r="E43" s="181">
        <v>-9504194.9000000004</v>
      </c>
    </row>
    <row r="44" spans="1:5" x14ac:dyDescent="0.25">
      <c r="A44" s="182" t="s">
        <v>143</v>
      </c>
      <c r="B44" s="183"/>
      <c r="C44" s="184">
        <f>SUM(C40:C43)</f>
        <v>0</v>
      </c>
      <c r="D44" s="184">
        <f>SUM(D40:D43)</f>
        <v>-802551516.48999989</v>
      </c>
      <c r="E44" s="184">
        <f>SUM(E40:E43)</f>
        <v>-802551516.48999989</v>
      </c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6" spans="1:5" x14ac:dyDescent="0.25">
      <c r="A56" s="179" t="s">
        <v>151</v>
      </c>
      <c r="B56" s="179" t="s">
        <v>40</v>
      </c>
      <c r="C56" s="181">
        <v>0</v>
      </c>
      <c r="D56" s="181">
        <v>-11174037.43</v>
      </c>
      <c r="E56" s="181">
        <v>-11174037.43</v>
      </c>
    </row>
    <row r="57" spans="1:5" x14ac:dyDescent="0.25">
      <c r="A57" s="179" t="s">
        <v>152</v>
      </c>
      <c r="B57" s="179" t="s">
        <v>41</v>
      </c>
      <c r="C57" s="181">
        <v>0</v>
      </c>
      <c r="D57" s="181">
        <v>2029575.97</v>
      </c>
      <c r="E57" s="181">
        <v>2029575.97</v>
      </c>
    </row>
    <row r="58" spans="1:5" x14ac:dyDescent="0.25">
      <c r="A58" s="179" t="s">
        <v>153</v>
      </c>
      <c r="B58" s="179" t="s">
        <v>42</v>
      </c>
      <c r="C58" s="181">
        <v>0</v>
      </c>
      <c r="D58" s="181">
        <v>1230722.29</v>
      </c>
      <c r="E58" s="181">
        <v>1230722.29</v>
      </c>
    </row>
    <row r="59" spans="1:5" x14ac:dyDescent="0.25">
      <c r="A59" s="179" t="s">
        <v>154</v>
      </c>
      <c r="B59" s="179" t="s">
        <v>43</v>
      </c>
      <c r="C59" s="181">
        <v>0</v>
      </c>
      <c r="D59" s="181">
        <v>-1063866.6399999999</v>
      </c>
      <c r="E59" s="181">
        <v>-1063866.6399999999</v>
      </c>
    </row>
    <row r="60" spans="1:5" x14ac:dyDescent="0.25">
      <c r="A60" s="182" t="s">
        <v>155</v>
      </c>
      <c r="B60" s="183"/>
      <c r="C60" s="184">
        <f>SUM(C56:C59)</f>
        <v>0</v>
      </c>
      <c r="D60" s="184">
        <f>SUM(D56:D59)</f>
        <v>-8977605.8099999987</v>
      </c>
      <c r="E60" s="184">
        <f>SUM(E56:E59)</f>
        <v>-8977605.8099999987</v>
      </c>
    </row>
    <row r="62" spans="1:5" x14ac:dyDescent="0.25">
      <c r="A62" s="179" t="s">
        <v>156</v>
      </c>
      <c r="B62" s="179" t="s">
        <v>157</v>
      </c>
      <c r="C62" s="181">
        <v>0</v>
      </c>
      <c r="D62" s="181">
        <v>1446055.48</v>
      </c>
      <c r="E62" s="181">
        <v>1446055.48</v>
      </c>
    </row>
    <row r="63" spans="1:5" x14ac:dyDescent="0.25">
      <c r="A63" s="179" t="s">
        <v>158</v>
      </c>
      <c r="B63" s="179" t="s">
        <v>159</v>
      </c>
      <c r="C63" s="181">
        <v>0</v>
      </c>
      <c r="D63" s="181">
        <v>90430.45</v>
      </c>
      <c r="E63" s="181">
        <v>90430.45</v>
      </c>
    </row>
    <row r="64" spans="1:5" x14ac:dyDescent="0.25">
      <c r="A64" s="179" t="s">
        <v>160</v>
      </c>
      <c r="B64" s="179" t="s">
        <v>161</v>
      </c>
      <c r="C64" s="181">
        <v>0</v>
      </c>
      <c r="D64" s="181">
        <v>11650.9</v>
      </c>
      <c r="E64" s="181">
        <v>11650.9</v>
      </c>
    </row>
    <row r="65" spans="1:5" x14ac:dyDescent="0.25">
      <c r="A65" s="179" t="s">
        <v>162</v>
      </c>
      <c r="B65" s="179" t="s">
        <v>163</v>
      </c>
      <c r="C65" s="181">
        <v>0</v>
      </c>
      <c r="D65" s="181">
        <v>116921.55</v>
      </c>
      <c r="E65" s="181">
        <v>116921.55</v>
      </c>
    </row>
    <row r="66" spans="1:5" x14ac:dyDescent="0.25">
      <c r="A66" s="182" t="s">
        <v>164</v>
      </c>
      <c r="B66" s="183"/>
      <c r="C66" s="184">
        <f>SUM(C62:C65)</f>
        <v>0</v>
      </c>
      <c r="D66" s="184">
        <f>SUM(D62:D65)</f>
        <v>1665058.38</v>
      </c>
      <c r="E66" s="184">
        <f>SUM(E62:E65)</f>
        <v>1665058.38</v>
      </c>
    </row>
    <row r="68" spans="1:5" x14ac:dyDescent="0.25">
      <c r="A68" s="182" t="s">
        <v>31</v>
      </c>
      <c r="B68" s="183"/>
      <c r="C68" s="184">
        <f>C14+C20+C26+C32+C38+C44+C46+C54+C60+C66</f>
        <v>0</v>
      </c>
      <c r="D68" s="184">
        <f>D14+D20+D26+D32+D38+D44+D46+D54+D60+D66</f>
        <v>-182886464.09999985</v>
      </c>
      <c r="E68" s="184">
        <f>E14+E20+E26+E32+E38+E44+E46+E54+E60+E66</f>
        <v>-182886464.09999985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9" workbookViewId="0">
      <selection activeCell="C48" sqref="C48"/>
    </sheetView>
  </sheetViews>
  <sheetFormatPr defaultRowHeight="13.2" x14ac:dyDescent="0.25"/>
  <cols>
    <col min="1" max="1" width="41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197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198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199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1953135058.8599999</v>
      </c>
      <c r="D9" s="180">
        <v>177202066.53999999</v>
      </c>
      <c r="E9" s="180">
        <v>2130337125.4000001</v>
      </c>
    </row>
    <row r="10" spans="1:5" x14ac:dyDescent="0.25">
      <c r="A10" s="179" t="s">
        <v>94</v>
      </c>
      <c r="B10" s="179" t="s">
        <v>35</v>
      </c>
      <c r="C10" s="181">
        <v>3838777508.6399999</v>
      </c>
      <c r="D10" s="181">
        <v>372887472.37</v>
      </c>
      <c r="E10" s="181">
        <v>4211664981.0100002</v>
      </c>
    </row>
    <row r="11" spans="1:5" x14ac:dyDescent="0.25">
      <c r="A11" s="179" t="s">
        <v>95</v>
      </c>
      <c r="B11" s="179" t="s">
        <v>36</v>
      </c>
      <c r="C11" s="181">
        <v>738225643.53999996</v>
      </c>
      <c r="D11" s="181">
        <v>75441055.049999997</v>
      </c>
      <c r="E11" s="181">
        <v>813666698.59000003</v>
      </c>
    </row>
    <row r="12" spans="1:5" x14ac:dyDescent="0.25">
      <c r="A12" s="179" t="s">
        <v>96</v>
      </c>
      <c r="B12" s="179" t="s">
        <v>37</v>
      </c>
      <c r="C12" s="181">
        <v>173928946.80000001</v>
      </c>
      <c r="D12" s="181">
        <v>18310473.59</v>
      </c>
      <c r="E12" s="181">
        <v>192239420.38999999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6704067157.8400002</v>
      </c>
      <c r="D14" s="184">
        <f>SUM(D9:D13)</f>
        <v>643841067.54999995</v>
      </c>
      <c r="E14" s="184">
        <f>SUM(E9:E13)</f>
        <v>7347908225.3900003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1147948.94</v>
      </c>
      <c r="D16" s="181">
        <v>96866.12</v>
      </c>
      <c r="E16" s="181">
        <v>1244815.06</v>
      </c>
    </row>
    <row r="17" spans="1:5" x14ac:dyDescent="0.25">
      <c r="A17" s="179" t="s">
        <v>101</v>
      </c>
      <c r="B17" s="179" t="s">
        <v>102</v>
      </c>
      <c r="C17" s="181">
        <v>2314198.62</v>
      </c>
      <c r="D17" s="181">
        <v>203552.83</v>
      </c>
      <c r="E17" s="181">
        <v>2517751.4500000002</v>
      </c>
    </row>
    <row r="18" spans="1:5" x14ac:dyDescent="0.25">
      <c r="A18" s="179" t="s">
        <v>103</v>
      </c>
      <c r="B18" s="179" t="s">
        <v>104</v>
      </c>
      <c r="C18" s="181">
        <v>450342.95</v>
      </c>
      <c r="D18" s="181">
        <v>41200.480000000003</v>
      </c>
      <c r="E18" s="181">
        <v>491543.43</v>
      </c>
    </row>
    <row r="19" spans="1:5" x14ac:dyDescent="0.25">
      <c r="A19" s="179" t="s">
        <v>105</v>
      </c>
      <c r="B19" s="179" t="s">
        <v>106</v>
      </c>
      <c r="C19" s="181">
        <v>106412.19</v>
      </c>
      <c r="D19" s="181">
        <v>10022.36</v>
      </c>
      <c r="E19" s="181">
        <v>116434.55</v>
      </c>
    </row>
    <row r="20" spans="1:5" x14ac:dyDescent="0.25">
      <c r="A20" s="182" t="s">
        <v>107</v>
      </c>
      <c r="B20" s="183"/>
      <c r="C20" s="184">
        <f>SUM(C16:C19)</f>
        <v>4018902.7</v>
      </c>
      <c r="D20" s="184">
        <f>SUM(D16:D19)</f>
        <v>351641.78999999992</v>
      </c>
      <c r="E20" s="184">
        <f>SUM(E16:E19)</f>
        <v>4370544.49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638023.38</v>
      </c>
      <c r="D22" s="181">
        <v>84223.3</v>
      </c>
      <c r="E22" s="181">
        <v>722246.68</v>
      </c>
    </row>
    <row r="23" spans="1:5" x14ac:dyDescent="0.25">
      <c r="A23" s="179" t="s">
        <v>110</v>
      </c>
      <c r="B23" s="179" t="s">
        <v>111</v>
      </c>
      <c r="C23" s="181">
        <v>1274766.93</v>
      </c>
      <c r="D23" s="181">
        <v>177260.61</v>
      </c>
      <c r="E23" s="181">
        <v>1452027.54</v>
      </c>
    </row>
    <row r="24" spans="1:5" x14ac:dyDescent="0.25">
      <c r="A24" s="179" t="s">
        <v>112</v>
      </c>
      <c r="B24" s="179" t="s">
        <v>113</v>
      </c>
      <c r="C24" s="181">
        <v>246931.22</v>
      </c>
      <c r="D24" s="181">
        <v>35868.32</v>
      </c>
      <c r="E24" s="181">
        <v>282799.53999999998</v>
      </c>
    </row>
    <row r="25" spans="1:5" x14ac:dyDescent="0.25">
      <c r="A25" s="179" t="s">
        <v>114</v>
      </c>
      <c r="B25" s="179" t="s">
        <v>115</v>
      </c>
      <c r="C25" s="181">
        <v>61505.792399999998</v>
      </c>
      <c r="D25" s="181">
        <v>8691.69</v>
      </c>
      <c r="E25" s="181">
        <v>70197.482399999994</v>
      </c>
    </row>
    <row r="26" spans="1:5" x14ac:dyDescent="0.25">
      <c r="A26" s="182" t="s">
        <v>116</v>
      </c>
      <c r="B26" s="183"/>
      <c r="C26" s="184">
        <f>SUM(C22:C25)</f>
        <v>2221227.3224000004</v>
      </c>
      <c r="D26" s="184">
        <f>SUM(D22:D25)</f>
        <v>306043.92</v>
      </c>
      <c r="E26" s="184">
        <f>SUM(E22:E25)</f>
        <v>2527271.2424000003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0</v>
      </c>
      <c r="D28" s="181">
        <v>0</v>
      </c>
      <c r="E28" s="181">
        <v>0</v>
      </c>
    </row>
    <row r="29" spans="1:5" x14ac:dyDescent="0.25">
      <c r="A29" s="179" t="s">
        <v>119</v>
      </c>
      <c r="B29" s="179" t="s">
        <v>120</v>
      </c>
      <c r="C29" s="181">
        <v>0</v>
      </c>
      <c r="D29" s="181">
        <v>0</v>
      </c>
      <c r="E29" s="181">
        <v>0</v>
      </c>
    </row>
    <row r="30" spans="1:5" x14ac:dyDescent="0.25">
      <c r="A30" s="179" t="s">
        <v>121</v>
      </c>
      <c r="B30" s="179" t="s">
        <v>122</v>
      </c>
      <c r="C30" s="181">
        <v>0</v>
      </c>
      <c r="D30" s="181">
        <v>0</v>
      </c>
      <c r="E30" s="181">
        <v>0</v>
      </c>
    </row>
    <row r="31" spans="1:5" x14ac:dyDescent="0.25">
      <c r="A31" s="179" t="s">
        <v>123</v>
      </c>
      <c r="B31" s="179" t="s">
        <v>124</v>
      </c>
      <c r="C31" s="181">
        <v>0</v>
      </c>
      <c r="D31" s="181">
        <v>0</v>
      </c>
      <c r="E31" s="181">
        <v>0</v>
      </c>
    </row>
    <row r="32" spans="1:5" x14ac:dyDescent="0.25">
      <c r="A32" s="182" t="s">
        <v>125</v>
      </c>
      <c r="B32" s="183"/>
      <c r="C32" s="184">
        <f>SUM(C28:C31)</f>
        <v>0</v>
      </c>
      <c r="D32" s="184">
        <f>SUM(D28:D31)</f>
        <v>0</v>
      </c>
      <c r="E32" s="184">
        <f>SUM(E28:E31)</f>
        <v>0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3576457.19</v>
      </c>
      <c r="D34" s="181">
        <v>72294.27</v>
      </c>
      <c r="E34" s="181">
        <v>3648751.46</v>
      </c>
    </row>
    <row r="35" spans="1:5" x14ac:dyDescent="0.25">
      <c r="A35" s="179" t="s">
        <v>128</v>
      </c>
      <c r="B35" s="179" t="s">
        <v>129</v>
      </c>
      <c r="C35" s="181">
        <v>1845021.07</v>
      </c>
      <c r="D35" s="181">
        <v>-235172.31</v>
      </c>
      <c r="E35" s="181">
        <v>1609848.76</v>
      </c>
    </row>
    <row r="36" spans="1:5" x14ac:dyDescent="0.25">
      <c r="A36" s="179" t="s">
        <v>130</v>
      </c>
      <c r="B36" s="179" t="s">
        <v>131</v>
      </c>
      <c r="C36" s="181">
        <v>315193.48</v>
      </c>
      <c r="D36" s="181">
        <v>-48196.56</v>
      </c>
      <c r="E36" s="181">
        <v>266996.92</v>
      </c>
    </row>
    <row r="37" spans="1:5" x14ac:dyDescent="0.25">
      <c r="A37" s="179" t="s">
        <v>132</v>
      </c>
      <c r="B37" s="179" t="s">
        <v>133</v>
      </c>
      <c r="C37" s="181">
        <v>71067.8</v>
      </c>
      <c r="D37" s="181">
        <v>-11700.01</v>
      </c>
      <c r="E37" s="181">
        <v>59367.79</v>
      </c>
    </row>
    <row r="38" spans="1:5" x14ac:dyDescent="0.25">
      <c r="A38" s="182" t="s">
        <v>134</v>
      </c>
      <c r="B38" s="183"/>
      <c r="C38" s="184">
        <f>SUM(C34:C37)</f>
        <v>5807739.54</v>
      </c>
      <c r="D38" s="184">
        <f>SUM(D34:D37)</f>
        <v>-222774.61</v>
      </c>
      <c r="E38" s="184">
        <f>SUM(E34:E37)</f>
        <v>5584964.9299999997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-1769637737.55</v>
      </c>
      <c r="D40" s="181">
        <v>-112602272.54000001</v>
      </c>
      <c r="E40" s="181">
        <v>-1882240010.0899999</v>
      </c>
    </row>
    <row r="41" spans="1:5" x14ac:dyDescent="0.25">
      <c r="A41" s="179" t="s">
        <v>137</v>
      </c>
      <c r="B41" s="179" t="s">
        <v>138</v>
      </c>
      <c r="C41" s="181">
        <v>-3939284799.29</v>
      </c>
      <c r="D41" s="181">
        <v>-384551920.83999997</v>
      </c>
      <c r="E41" s="181">
        <v>-4323836720.1300001</v>
      </c>
    </row>
    <row r="42" spans="1:5" x14ac:dyDescent="0.25">
      <c r="A42" s="179" t="s">
        <v>139</v>
      </c>
      <c r="B42" s="179" t="s">
        <v>140</v>
      </c>
      <c r="C42" s="181">
        <v>-821932990.64999998</v>
      </c>
      <c r="D42" s="181">
        <v>-87053670.969999999</v>
      </c>
      <c r="E42" s="181">
        <v>-908986661.62</v>
      </c>
    </row>
    <row r="43" spans="1:5" x14ac:dyDescent="0.25">
      <c r="A43" s="179" t="s">
        <v>141</v>
      </c>
      <c r="B43" s="179" t="s">
        <v>142</v>
      </c>
      <c r="C43" s="181">
        <v>-52610420.009999998</v>
      </c>
      <c r="D43" s="181">
        <v>-4530375.7</v>
      </c>
      <c r="E43" s="181">
        <v>-57140795.710000001</v>
      </c>
    </row>
    <row r="44" spans="1:5" x14ac:dyDescent="0.25">
      <c r="A44" s="182" t="s">
        <v>143</v>
      </c>
      <c r="B44" s="183"/>
      <c r="C44" s="184">
        <f>SUM(C40:C43)</f>
        <v>-6583465947.5</v>
      </c>
      <c r="D44" s="184">
        <f>SUM(D40:D43)</f>
        <v>-588738240.05000007</v>
      </c>
      <c r="E44" s="184">
        <f>SUM(E40:E43)</f>
        <v>-7172204187.5500002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-115452750.28</v>
      </c>
      <c r="D56" s="181">
        <v>-1484965.19</v>
      </c>
      <c r="E56" s="181">
        <v>-116937715.47</v>
      </c>
    </row>
    <row r="57" spans="1:5" x14ac:dyDescent="0.25">
      <c r="A57" s="179" t="s">
        <v>152</v>
      </c>
      <c r="B57" s="179" t="s">
        <v>41</v>
      </c>
      <c r="C57" s="181">
        <v>-55789225.700000003</v>
      </c>
      <c r="D57" s="181">
        <v>-3124241.57</v>
      </c>
      <c r="E57" s="181">
        <v>-58913467.270000003</v>
      </c>
    </row>
    <row r="58" spans="1:5" x14ac:dyDescent="0.25">
      <c r="A58" s="179" t="s">
        <v>153</v>
      </c>
      <c r="B58" s="179" t="s">
        <v>42</v>
      </c>
      <c r="C58" s="181">
        <v>-4080006.14</v>
      </c>
      <c r="D58" s="181">
        <v>-631735.6</v>
      </c>
      <c r="E58" s="181">
        <v>-4711741.74</v>
      </c>
    </row>
    <row r="59" spans="1:5" x14ac:dyDescent="0.25">
      <c r="A59" s="179" t="s">
        <v>154</v>
      </c>
      <c r="B59" s="179" t="s">
        <v>43</v>
      </c>
      <c r="C59" s="181">
        <v>-7454005.9000000004</v>
      </c>
      <c r="D59" s="181">
        <v>-153977.19</v>
      </c>
      <c r="E59" s="181">
        <v>-7607983.0899999999</v>
      </c>
    </row>
    <row r="60" spans="1:5" x14ac:dyDescent="0.25">
      <c r="A60" s="182" t="s">
        <v>155</v>
      </c>
      <c r="B60" s="183"/>
      <c r="C60" s="184">
        <f>SUM(C56:C59)</f>
        <v>-182775988.02000001</v>
      </c>
      <c r="D60" s="184">
        <f>SUM(D56:D59)</f>
        <v>-5394919.5499999998</v>
      </c>
      <c r="E60" s="184">
        <f>SUM(E56:E59)</f>
        <v>-188170907.57000002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42368205.530000001</v>
      </c>
      <c r="D62" s="181">
        <v>1528516.44</v>
      </c>
      <c r="E62" s="181">
        <v>43896721.969999999</v>
      </c>
    </row>
    <row r="63" spans="1:5" x14ac:dyDescent="0.25">
      <c r="A63" s="179" t="s">
        <v>158</v>
      </c>
      <c r="B63" s="179" t="s">
        <v>159</v>
      </c>
      <c r="C63" s="181">
        <v>3572482</v>
      </c>
      <c r="D63" s="181">
        <v>99715.16</v>
      </c>
      <c r="E63" s="181">
        <v>3672197.16</v>
      </c>
    </row>
    <row r="64" spans="1:5" x14ac:dyDescent="0.25">
      <c r="A64" s="179" t="s">
        <v>160</v>
      </c>
      <c r="B64" s="179" t="s">
        <v>161</v>
      </c>
      <c r="C64" s="181">
        <v>1377399.9</v>
      </c>
      <c r="D64" s="181">
        <v>17339.53</v>
      </c>
      <c r="E64" s="181">
        <v>1394739.43</v>
      </c>
    </row>
    <row r="65" spans="1:5" x14ac:dyDescent="0.25">
      <c r="A65" s="179" t="s">
        <v>162</v>
      </c>
      <c r="B65" s="179" t="s">
        <v>163</v>
      </c>
      <c r="C65" s="181">
        <v>2607683.3199999998</v>
      </c>
      <c r="D65" s="181">
        <v>117488.28</v>
      </c>
      <c r="E65" s="181">
        <v>2725171.6</v>
      </c>
    </row>
    <row r="66" spans="1:5" x14ac:dyDescent="0.25">
      <c r="A66" s="182" t="s">
        <v>164</v>
      </c>
      <c r="B66" s="183"/>
      <c r="C66" s="184">
        <f>SUM(C62:C65)</f>
        <v>49925770.75</v>
      </c>
      <c r="D66" s="184">
        <f>SUM(D62:D65)</f>
        <v>1763059.41</v>
      </c>
      <c r="E66" s="184">
        <f>SUM(E62:E65)</f>
        <v>51688830.159999996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-201137.36759999394</v>
      </c>
      <c r="D68" s="184">
        <f>D14+D20+D26+D32+D38+D44+D46+D54+D60+D66</f>
        <v>51905878.459999785</v>
      </c>
      <c r="E68" s="184">
        <f>E14+E20+E26+E32+E38+E44+E46+E54+E60+E66</f>
        <v>51704741.092400372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1" activePane="bottomLeft" state="frozenSplit"/>
      <selection pane="bottomLeft" activeCell="H62" sqref="H62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369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370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202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0</v>
      </c>
      <c r="D9" s="500">
        <v>172732523.41</v>
      </c>
      <c r="E9" s="500">
        <v>172732523.41</v>
      </c>
    </row>
    <row r="10" spans="1:5" x14ac:dyDescent="0.25">
      <c r="A10" s="499" t="s">
        <v>94</v>
      </c>
      <c r="B10" s="499" t="s">
        <v>35</v>
      </c>
      <c r="C10" s="501">
        <v>0</v>
      </c>
      <c r="D10" s="501">
        <v>335979828.44999999</v>
      </c>
      <c r="E10" s="501">
        <v>335979828.44999999</v>
      </c>
    </row>
    <row r="11" spans="1:5" x14ac:dyDescent="0.25">
      <c r="A11" s="499" t="s">
        <v>95</v>
      </c>
      <c r="B11" s="499" t="s">
        <v>36</v>
      </c>
      <c r="C11" s="501">
        <v>0</v>
      </c>
      <c r="D11" s="501">
        <v>198342799.68000001</v>
      </c>
      <c r="E11" s="501">
        <v>198342799.68000001</v>
      </c>
    </row>
    <row r="12" spans="1:5" x14ac:dyDescent="0.25">
      <c r="A12" s="499" t="s">
        <v>96</v>
      </c>
      <c r="B12" s="499" t="s">
        <v>37</v>
      </c>
      <c r="C12" s="501">
        <v>0</v>
      </c>
      <c r="D12" s="501">
        <v>9983982.9800000004</v>
      </c>
      <c r="E12" s="501">
        <v>9983982.9800000004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0</v>
      </c>
      <c r="D14" s="504">
        <f>SUM(D9:D13)</f>
        <v>717039134.51999998</v>
      </c>
      <c r="E14" s="504">
        <f>SUM(E9:E13)</f>
        <v>717039134.51999998</v>
      </c>
    </row>
    <row r="16" spans="1:5" x14ac:dyDescent="0.25">
      <c r="A16" s="499" t="s">
        <v>99</v>
      </c>
      <c r="B16" s="499" t="s">
        <v>100</v>
      </c>
      <c r="C16" s="501">
        <v>0</v>
      </c>
      <c r="D16" s="501">
        <v>151310.64000000001</v>
      </c>
      <c r="E16" s="501">
        <v>151310.64000000001</v>
      </c>
    </row>
    <row r="17" spans="1:5" x14ac:dyDescent="0.25">
      <c r="A17" s="499" t="s">
        <v>101</v>
      </c>
      <c r="B17" s="499" t="s">
        <v>102</v>
      </c>
      <c r="C17" s="501">
        <v>0</v>
      </c>
      <c r="D17" s="501">
        <v>293785.67</v>
      </c>
      <c r="E17" s="501">
        <v>293785.67</v>
      </c>
    </row>
    <row r="18" spans="1:5" x14ac:dyDescent="0.25">
      <c r="A18" s="499" t="s">
        <v>103</v>
      </c>
      <c r="B18" s="499" t="s">
        <v>104</v>
      </c>
      <c r="C18" s="501">
        <v>0</v>
      </c>
      <c r="D18" s="501">
        <v>237657.47</v>
      </c>
      <c r="E18" s="501">
        <v>237657.47</v>
      </c>
    </row>
    <row r="19" spans="1:5" x14ac:dyDescent="0.25">
      <c r="A19" s="499" t="s">
        <v>105</v>
      </c>
      <c r="B19" s="499" t="s">
        <v>106</v>
      </c>
      <c r="C19" s="501">
        <v>0</v>
      </c>
      <c r="D19" s="501">
        <v>8312.7800000000007</v>
      </c>
      <c r="E19" s="501">
        <v>8312.7800000000007</v>
      </c>
    </row>
    <row r="20" spans="1:5" x14ac:dyDescent="0.25">
      <c r="A20" s="502" t="s">
        <v>107</v>
      </c>
      <c r="B20" s="503"/>
      <c r="C20" s="504">
        <f>SUM(C16:C19)</f>
        <v>0</v>
      </c>
      <c r="D20" s="504">
        <f>SUM(D16:D19)</f>
        <v>691066.56</v>
      </c>
      <c r="E20" s="504">
        <f>SUM(E16:E19)</f>
        <v>691066.56</v>
      </c>
    </row>
    <row r="22" spans="1:5" x14ac:dyDescent="0.25">
      <c r="A22" s="499" t="s">
        <v>108</v>
      </c>
      <c r="B22" s="499" t="s">
        <v>109</v>
      </c>
      <c r="C22" s="501">
        <v>0</v>
      </c>
      <c r="D22" s="501">
        <v>64619.22</v>
      </c>
      <c r="E22" s="501">
        <v>64619.22</v>
      </c>
    </row>
    <row r="23" spans="1:5" x14ac:dyDescent="0.25">
      <c r="A23" s="499" t="s">
        <v>110</v>
      </c>
      <c r="B23" s="499" t="s">
        <v>111</v>
      </c>
      <c r="C23" s="501">
        <v>0</v>
      </c>
      <c r="D23" s="501">
        <v>125591.95</v>
      </c>
      <c r="E23" s="501">
        <v>125591.95</v>
      </c>
    </row>
    <row r="24" spans="1:5" x14ac:dyDescent="0.25">
      <c r="A24" s="499" t="s">
        <v>112</v>
      </c>
      <c r="B24" s="499" t="s">
        <v>113</v>
      </c>
      <c r="C24" s="501">
        <v>0</v>
      </c>
      <c r="D24" s="501">
        <v>74218.3</v>
      </c>
      <c r="E24" s="501">
        <v>74218.3</v>
      </c>
    </row>
    <row r="25" spans="1:5" x14ac:dyDescent="0.25">
      <c r="A25" s="499" t="s">
        <v>114</v>
      </c>
      <c r="B25" s="499" t="s">
        <v>115</v>
      </c>
      <c r="C25" s="501">
        <v>0</v>
      </c>
      <c r="D25" s="501">
        <v>3700.13</v>
      </c>
      <c r="E25" s="501">
        <v>3700.13</v>
      </c>
    </row>
    <row r="26" spans="1:5" x14ac:dyDescent="0.25">
      <c r="A26" s="502" t="s">
        <v>116</v>
      </c>
      <c r="B26" s="503"/>
      <c r="C26" s="504">
        <f>SUM(C22:C25)</f>
        <v>0</v>
      </c>
      <c r="D26" s="504">
        <f>SUM(D22:D25)</f>
        <v>268129.59999999998</v>
      </c>
      <c r="E26" s="504">
        <f>SUM(E22:E25)</f>
        <v>268129.59999999998</v>
      </c>
    </row>
    <row r="28" spans="1:5" x14ac:dyDescent="0.25">
      <c r="A28" s="499" t="s">
        <v>117</v>
      </c>
      <c r="B28" s="499" t="s">
        <v>118</v>
      </c>
      <c r="C28" s="501">
        <v>0</v>
      </c>
      <c r="D28" s="501">
        <v>978.44</v>
      </c>
      <c r="E28" s="501">
        <v>978.44</v>
      </c>
    </row>
    <row r="29" spans="1:5" x14ac:dyDescent="0.25">
      <c r="A29" s="499" t="s">
        <v>119</v>
      </c>
      <c r="B29" s="499" t="s">
        <v>120</v>
      </c>
      <c r="C29" s="501">
        <v>0</v>
      </c>
      <c r="D29" s="501">
        <v>1901.66</v>
      </c>
      <c r="E29" s="501">
        <v>1901.66</v>
      </c>
    </row>
    <row r="30" spans="1:5" x14ac:dyDescent="0.25">
      <c r="A30" s="499" t="s">
        <v>121</v>
      </c>
      <c r="B30" s="499" t="s">
        <v>122</v>
      </c>
      <c r="C30" s="501">
        <v>0</v>
      </c>
      <c r="D30" s="501">
        <v>1123.78</v>
      </c>
      <c r="E30" s="501">
        <v>1123.78</v>
      </c>
    </row>
    <row r="31" spans="1:5" x14ac:dyDescent="0.25">
      <c r="A31" s="499" t="s">
        <v>123</v>
      </c>
      <c r="B31" s="499" t="s">
        <v>124</v>
      </c>
      <c r="C31" s="501">
        <v>0</v>
      </c>
      <c r="D31" s="501">
        <v>56.03</v>
      </c>
      <c r="E31" s="501">
        <v>56.03</v>
      </c>
    </row>
    <row r="32" spans="1:5" x14ac:dyDescent="0.25">
      <c r="A32" s="502" t="s">
        <v>125</v>
      </c>
      <c r="B32" s="503"/>
      <c r="C32" s="504">
        <f>SUM(C28:C31)</f>
        <v>0</v>
      </c>
      <c r="D32" s="504">
        <f>SUM(D28:D31)</f>
        <v>4059.9100000000003</v>
      </c>
      <c r="E32" s="504">
        <f>SUM(E28:E31)</f>
        <v>4059.9100000000003</v>
      </c>
    </row>
    <row r="34" spans="1:5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5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5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5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5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5" x14ac:dyDescent="0.25">
      <c r="A40" s="499" t="s">
        <v>126</v>
      </c>
      <c r="B40" s="499" t="s">
        <v>347</v>
      </c>
      <c r="C40" s="501">
        <v>0</v>
      </c>
      <c r="D40" s="501">
        <v>-112309.29</v>
      </c>
      <c r="E40" s="501">
        <v>-112309.29</v>
      </c>
    </row>
    <row r="41" spans="1:5" x14ac:dyDescent="0.25">
      <c r="A41" s="499" t="s">
        <v>128</v>
      </c>
      <c r="B41" s="499" t="s">
        <v>348</v>
      </c>
      <c r="C41" s="501">
        <v>0</v>
      </c>
      <c r="D41" s="501">
        <v>-8094610.0099999998</v>
      </c>
      <c r="E41" s="501">
        <v>-8094610.0099999998</v>
      </c>
    </row>
    <row r="42" spans="1:5" x14ac:dyDescent="0.25">
      <c r="A42" s="499" t="s">
        <v>130</v>
      </c>
      <c r="B42" s="499" t="s">
        <v>349</v>
      </c>
      <c r="C42" s="501">
        <v>0</v>
      </c>
      <c r="D42" s="501">
        <v>-129095.99</v>
      </c>
      <c r="E42" s="501">
        <v>-129095.99</v>
      </c>
    </row>
    <row r="43" spans="1:5" x14ac:dyDescent="0.25">
      <c r="A43" s="499" t="s">
        <v>132</v>
      </c>
      <c r="B43" s="499" t="s">
        <v>350</v>
      </c>
      <c r="C43" s="501">
        <v>0</v>
      </c>
      <c r="D43" s="501">
        <v>-6432.03</v>
      </c>
      <c r="E43" s="501">
        <v>-6432.03</v>
      </c>
    </row>
    <row r="44" spans="1:5" x14ac:dyDescent="0.25">
      <c r="A44" s="502" t="s">
        <v>134</v>
      </c>
      <c r="B44" s="503"/>
      <c r="C44" s="504">
        <f>SUM(C40:C43)</f>
        <v>0</v>
      </c>
      <c r="D44" s="504">
        <f>SUM(D40:D43)</f>
        <v>-8342447.3200000003</v>
      </c>
      <c r="E44" s="504">
        <f>SUM(E40:E43)</f>
        <v>-8342447.3200000003</v>
      </c>
    </row>
    <row r="46" spans="1:5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5" x14ac:dyDescent="0.25">
      <c r="A47" s="499" t="s">
        <v>328</v>
      </c>
      <c r="B47" s="499" t="s">
        <v>329</v>
      </c>
      <c r="C47" s="501">
        <v>0</v>
      </c>
      <c r="D47" s="501">
        <v>-2414846</v>
      </c>
      <c r="E47" s="501">
        <v>-2414846</v>
      </c>
    </row>
    <row r="48" spans="1:5" x14ac:dyDescent="0.25">
      <c r="A48" s="499" t="s">
        <v>330</v>
      </c>
      <c r="B48" s="499" t="s">
        <v>331</v>
      </c>
      <c r="C48" s="501">
        <v>0</v>
      </c>
      <c r="D48" s="501">
        <v>-606676</v>
      </c>
      <c r="E48" s="501">
        <v>-606676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0</v>
      </c>
      <c r="D50" s="504">
        <f>SUM(D46:D49)</f>
        <v>-3021522</v>
      </c>
      <c r="E50" s="504">
        <f>SUM(E46:E49)</f>
        <v>-3021522</v>
      </c>
    </row>
    <row r="52" spans="1:5" x14ac:dyDescent="0.25">
      <c r="A52" s="499" t="s">
        <v>135</v>
      </c>
      <c r="B52" s="499" t="s">
        <v>136</v>
      </c>
      <c r="C52" s="501">
        <v>0</v>
      </c>
      <c r="D52" s="501">
        <v>-316035230.81</v>
      </c>
      <c r="E52" s="501">
        <v>-316035230.81</v>
      </c>
    </row>
    <row r="53" spans="1:5" x14ac:dyDescent="0.25">
      <c r="A53" s="499" t="s">
        <v>137</v>
      </c>
      <c r="B53" s="499" t="s">
        <v>138</v>
      </c>
      <c r="C53" s="501">
        <v>0</v>
      </c>
      <c r="D53" s="501">
        <v>-339423775</v>
      </c>
      <c r="E53" s="501">
        <v>-339423775</v>
      </c>
    </row>
    <row r="54" spans="1:5" x14ac:dyDescent="0.25">
      <c r="A54" s="499" t="s">
        <v>139</v>
      </c>
      <c r="B54" s="499" t="s">
        <v>140</v>
      </c>
      <c r="C54" s="501">
        <v>0</v>
      </c>
      <c r="D54" s="501">
        <v>-255616281</v>
      </c>
      <c r="E54" s="501">
        <v>-255616281</v>
      </c>
    </row>
    <row r="55" spans="1:5" x14ac:dyDescent="0.25">
      <c r="A55" s="499" t="s">
        <v>141</v>
      </c>
      <c r="B55" s="499" t="s">
        <v>142</v>
      </c>
      <c r="C55" s="501">
        <v>0</v>
      </c>
      <c r="D55" s="501">
        <v>-9441381.7200000007</v>
      </c>
      <c r="E55" s="501">
        <v>-9441381.7200000007</v>
      </c>
    </row>
    <row r="56" spans="1:5" x14ac:dyDescent="0.25">
      <c r="A56" s="502" t="s">
        <v>143</v>
      </c>
      <c r="B56" s="503"/>
      <c r="C56" s="504">
        <f>SUM(C52:C55)</f>
        <v>0</v>
      </c>
      <c r="D56" s="504">
        <f>SUM(D52:D55)</f>
        <v>-920516668.52999997</v>
      </c>
      <c r="E56" s="504">
        <f>SUM(E52:E55)</f>
        <v>-920516668.52999997</v>
      </c>
    </row>
    <row r="58" spans="1:5" x14ac:dyDescent="0.25">
      <c r="A58" s="499" t="s">
        <v>351</v>
      </c>
      <c r="B58" s="499" t="s">
        <v>352</v>
      </c>
      <c r="C58" s="501">
        <v>0</v>
      </c>
      <c r="D58" s="501">
        <v>6891229.9900000002</v>
      </c>
      <c r="E58" s="501">
        <v>6891229.9900000002</v>
      </c>
    </row>
    <row r="59" spans="1:5" x14ac:dyDescent="0.25">
      <c r="A59" s="499" t="s">
        <v>353</v>
      </c>
      <c r="B59" s="499" t="s">
        <v>354</v>
      </c>
      <c r="C59" s="501">
        <v>0</v>
      </c>
      <c r="D59" s="501">
        <v>0</v>
      </c>
      <c r="E59" s="501">
        <v>0</v>
      </c>
    </row>
    <row r="60" spans="1:5" x14ac:dyDescent="0.25">
      <c r="C60" s="501">
        <f>SUM(C58:C59)</f>
        <v>0</v>
      </c>
      <c r="D60" s="501">
        <f>SUM(D58:D59)</f>
        <v>6891229.9900000002</v>
      </c>
      <c r="E60" s="501">
        <f>SUM(E58:E59)</f>
        <v>6891229.9900000002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0</v>
      </c>
      <c r="D72" s="501">
        <v>-6545008.0999999996</v>
      </c>
      <c r="E72" s="501">
        <v>-6545008.0999999996</v>
      </c>
    </row>
    <row r="73" spans="1:5" x14ac:dyDescent="0.25">
      <c r="A73" s="499" t="s">
        <v>152</v>
      </c>
      <c r="B73" s="499" t="s">
        <v>41</v>
      </c>
      <c r="C73" s="501">
        <v>0</v>
      </c>
      <c r="D73" s="501">
        <v>-1744252.72</v>
      </c>
      <c r="E73" s="501">
        <v>-1744252.72</v>
      </c>
    </row>
    <row r="74" spans="1:5" x14ac:dyDescent="0.25">
      <c r="A74" s="499" t="s">
        <v>153</v>
      </c>
      <c r="B74" s="499" t="s">
        <v>42</v>
      </c>
      <c r="C74" s="501">
        <v>0</v>
      </c>
      <c r="D74" s="501">
        <v>-831637.86</v>
      </c>
      <c r="E74" s="501">
        <v>-831637.86</v>
      </c>
    </row>
    <row r="75" spans="1:5" x14ac:dyDescent="0.25">
      <c r="A75" s="499" t="s">
        <v>154</v>
      </c>
      <c r="B75" s="499" t="s">
        <v>43</v>
      </c>
      <c r="C75" s="501">
        <v>0</v>
      </c>
      <c r="D75" s="501">
        <v>-1919275.35</v>
      </c>
      <c r="E75" s="501">
        <v>-1919275.35</v>
      </c>
    </row>
    <row r="76" spans="1:5" x14ac:dyDescent="0.25">
      <c r="A76" s="502" t="s">
        <v>155</v>
      </c>
      <c r="B76" s="503"/>
      <c r="C76" s="504">
        <f>SUM(C72:C75)</f>
        <v>0</v>
      </c>
      <c r="D76" s="504">
        <f>SUM(D72:D75)</f>
        <v>-11040174.029999999</v>
      </c>
      <c r="E76" s="504">
        <f>SUM(E72:E75)</f>
        <v>-11040174.029999999</v>
      </c>
    </row>
    <row r="78" spans="1:5" x14ac:dyDescent="0.25">
      <c r="A78" s="499" t="s">
        <v>156</v>
      </c>
      <c r="B78" s="499" t="s">
        <v>157</v>
      </c>
      <c r="C78" s="501">
        <v>0</v>
      </c>
      <c r="D78" s="501">
        <v>1432964.12</v>
      </c>
      <c r="E78" s="501">
        <v>1432964.12</v>
      </c>
    </row>
    <row r="79" spans="1:5" x14ac:dyDescent="0.25">
      <c r="A79" s="499" t="s">
        <v>158</v>
      </c>
      <c r="B79" s="499" t="s">
        <v>159</v>
      </c>
      <c r="C79" s="501">
        <v>0</v>
      </c>
      <c r="D79" s="501">
        <v>505119</v>
      </c>
      <c r="E79" s="501">
        <v>505119</v>
      </c>
    </row>
    <row r="80" spans="1:5" x14ac:dyDescent="0.25">
      <c r="A80" s="499" t="s">
        <v>160</v>
      </c>
      <c r="B80" s="499" t="s">
        <v>161</v>
      </c>
      <c r="C80" s="501">
        <v>0</v>
      </c>
      <c r="D80" s="501">
        <v>74740.960000000006</v>
      </c>
      <c r="E80" s="501">
        <v>74740.960000000006</v>
      </c>
    </row>
    <row r="81" spans="1:5" x14ac:dyDescent="0.25">
      <c r="A81" s="499" t="s">
        <v>162</v>
      </c>
      <c r="B81" s="499" t="s">
        <v>163</v>
      </c>
      <c r="C81" s="501">
        <v>0</v>
      </c>
      <c r="D81" s="501">
        <v>210445.25</v>
      </c>
      <c r="E81" s="501">
        <v>210445.25</v>
      </c>
    </row>
    <row r="82" spans="1:5" x14ac:dyDescent="0.25">
      <c r="A82" s="502" t="s">
        <v>164</v>
      </c>
      <c r="B82" s="503"/>
      <c r="C82" s="504">
        <f>SUM(C78:C81)</f>
        <v>0</v>
      </c>
      <c r="D82" s="504">
        <f>SUM(D78:D81)</f>
        <v>2223269.33</v>
      </c>
      <c r="E82" s="504">
        <f>SUM(E78:E81)</f>
        <v>2223269.33</v>
      </c>
    </row>
    <row r="84" spans="1:5" x14ac:dyDescent="0.25">
      <c r="A84" s="502" t="s">
        <v>31</v>
      </c>
      <c r="B84" s="503"/>
      <c r="C84" s="504">
        <f>C14+C20+C26+C32+C44+C56+C62+C70+C76+C82+C50+C38+C60</f>
        <v>0</v>
      </c>
      <c r="D84" s="504">
        <f>D14+D20+D26+D32+D44+D56+D62+D70+D76+D82+D50+D38+D60</f>
        <v>-215803921.97000009</v>
      </c>
      <c r="E84" s="504">
        <f>E14+E20+E26+E32+E44+E56+E62+E70+E76+E82+E50+E38+E60</f>
        <v>-215803921.97000009</v>
      </c>
    </row>
  </sheetData>
  <pageMargins left="0.75" right="0.75" top="0.75" bottom="0.75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22" workbookViewId="0">
      <selection activeCell="D14" sqref="D14"/>
    </sheetView>
  </sheetViews>
  <sheetFormatPr defaultRowHeight="13.2" x14ac:dyDescent="0.25"/>
  <cols>
    <col min="1" max="1" width="36.44140625" customWidth="1"/>
    <col min="2" max="2" width="31.44140625" bestFit="1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194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195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196</v>
      </c>
      <c r="E7" s="178" t="s">
        <v>92</v>
      </c>
    </row>
    <row r="8" spans="1:5" x14ac:dyDescent="0.25">
      <c r="A8" s="177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1776281751.5899999</v>
      </c>
      <c r="D9" s="180">
        <v>176853307.27000001</v>
      </c>
      <c r="E9" s="180">
        <v>1953135058.8599999</v>
      </c>
    </row>
    <row r="10" spans="1:5" x14ac:dyDescent="0.25">
      <c r="A10" s="179" t="s">
        <v>94</v>
      </c>
      <c r="B10" s="179" t="s">
        <v>35</v>
      </c>
      <c r="C10" s="181">
        <v>3466654895.2399998</v>
      </c>
      <c r="D10" s="181">
        <v>372122613.39999998</v>
      </c>
      <c r="E10" s="181">
        <v>3838777508.6399999</v>
      </c>
    </row>
    <row r="11" spans="1:5" x14ac:dyDescent="0.25">
      <c r="A11" s="179" t="s">
        <v>95</v>
      </c>
      <c r="B11" s="179" t="s">
        <v>36</v>
      </c>
      <c r="C11" s="181">
        <v>662590453.79999995</v>
      </c>
      <c r="D11" s="181">
        <v>75635189.739999995</v>
      </c>
      <c r="E11" s="181">
        <v>738225643.53999996</v>
      </c>
    </row>
    <row r="12" spans="1:5" x14ac:dyDescent="0.25">
      <c r="A12" s="179" t="s">
        <v>96</v>
      </c>
      <c r="B12" s="179" t="s">
        <v>37</v>
      </c>
      <c r="C12" s="181">
        <v>155645221.00999999</v>
      </c>
      <c r="D12" s="181">
        <v>18283725.789999999</v>
      </c>
      <c r="E12" s="181">
        <v>173928946.80000001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6061172321.6400003</v>
      </c>
      <c r="D14" s="184">
        <f>SUM(D9:D13)</f>
        <v>642894836.19999993</v>
      </c>
      <c r="E14" s="184">
        <f>SUM(E9:E13)</f>
        <v>6704067157.8400002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757490.57</v>
      </c>
      <c r="D16" s="181">
        <v>390458.37</v>
      </c>
      <c r="E16" s="181">
        <v>1147948.94</v>
      </c>
    </row>
    <row r="17" spans="1:5" x14ac:dyDescent="0.25">
      <c r="A17" s="179" t="s">
        <v>101</v>
      </c>
      <c r="B17" s="179" t="s">
        <v>102</v>
      </c>
      <c r="C17" s="181">
        <v>1492548.58</v>
      </c>
      <c r="D17" s="181">
        <v>821650.04</v>
      </c>
      <c r="E17" s="181">
        <v>2314198.62</v>
      </c>
    </row>
    <row r="18" spans="1:5" x14ac:dyDescent="0.25">
      <c r="A18" s="179" t="s">
        <v>103</v>
      </c>
      <c r="B18" s="179" t="s">
        <v>104</v>
      </c>
      <c r="C18" s="181">
        <v>284071.78000000003</v>
      </c>
      <c r="D18" s="181">
        <v>166271.17000000001</v>
      </c>
      <c r="E18" s="181">
        <v>450342.95</v>
      </c>
    </row>
    <row r="19" spans="1:5" x14ac:dyDescent="0.25">
      <c r="A19" s="179" t="s">
        <v>105</v>
      </c>
      <c r="B19" s="179" t="s">
        <v>106</v>
      </c>
      <c r="C19" s="181">
        <v>66124.179999999993</v>
      </c>
      <c r="D19" s="181">
        <v>40288.01</v>
      </c>
      <c r="E19" s="181">
        <v>106412.19</v>
      </c>
    </row>
    <row r="20" spans="1:5" x14ac:dyDescent="0.25">
      <c r="A20" s="182" t="s">
        <v>107</v>
      </c>
      <c r="B20" s="183"/>
      <c r="C20" s="184">
        <f>SUM(C16:C19)</f>
        <v>2600235.11</v>
      </c>
      <c r="D20" s="184">
        <f>SUM(D16:D19)</f>
        <v>1418667.59</v>
      </c>
      <c r="E20" s="184">
        <f>SUM(E16:E19)</f>
        <v>4018902.7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596849.56000000006</v>
      </c>
      <c r="D22" s="181">
        <v>41173.82</v>
      </c>
      <c r="E22" s="181">
        <v>638023.38</v>
      </c>
    </row>
    <row r="23" spans="1:5" x14ac:dyDescent="0.25">
      <c r="A23" s="179" t="s">
        <v>110</v>
      </c>
      <c r="B23" s="179" t="s">
        <v>111</v>
      </c>
      <c r="C23" s="181">
        <v>1188110.43</v>
      </c>
      <c r="D23" s="181">
        <v>86656.5</v>
      </c>
      <c r="E23" s="181">
        <v>1274766.93</v>
      </c>
    </row>
    <row r="24" spans="1:5" x14ac:dyDescent="0.25">
      <c r="A24" s="179" t="s">
        <v>112</v>
      </c>
      <c r="B24" s="179" t="s">
        <v>113</v>
      </c>
      <c r="C24" s="181">
        <v>229396.42</v>
      </c>
      <c r="D24" s="181">
        <v>17534.8</v>
      </c>
      <c r="E24" s="181">
        <v>246931.22</v>
      </c>
    </row>
    <row r="25" spans="1:5" x14ac:dyDescent="0.25">
      <c r="A25" s="179" t="s">
        <v>114</v>
      </c>
      <c r="B25" s="179" t="s">
        <v>115</v>
      </c>
      <c r="C25" s="181">
        <v>57256.8024</v>
      </c>
      <c r="D25" s="181">
        <v>4248.99</v>
      </c>
      <c r="E25" s="181">
        <v>61505.792399999998</v>
      </c>
    </row>
    <row r="26" spans="1:5" x14ac:dyDescent="0.25">
      <c r="A26" s="182" t="s">
        <v>116</v>
      </c>
      <c r="B26" s="183"/>
      <c r="C26" s="184">
        <f>SUM(C22:C25)</f>
        <v>2071613.2123999998</v>
      </c>
      <c r="D26" s="184">
        <f>SUM(D22:D25)</f>
        <v>149614.10999999999</v>
      </c>
      <c r="E26" s="184">
        <f>SUM(E22:E25)</f>
        <v>2221227.3224000004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0</v>
      </c>
      <c r="D28" s="181">
        <v>0</v>
      </c>
      <c r="E28" s="181">
        <v>0</v>
      </c>
    </row>
    <row r="29" spans="1:5" x14ac:dyDescent="0.25">
      <c r="A29" s="179" t="s">
        <v>119</v>
      </c>
      <c r="B29" s="179" t="s">
        <v>120</v>
      </c>
      <c r="C29" s="181">
        <v>0</v>
      </c>
      <c r="D29" s="181">
        <v>0</v>
      </c>
      <c r="E29" s="181">
        <v>0</v>
      </c>
    </row>
    <row r="30" spans="1:5" x14ac:dyDescent="0.25">
      <c r="A30" s="179" t="s">
        <v>121</v>
      </c>
      <c r="B30" s="179" t="s">
        <v>122</v>
      </c>
      <c r="C30" s="181">
        <v>0</v>
      </c>
      <c r="D30" s="181">
        <v>0</v>
      </c>
      <c r="E30" s="181">
        <v>0</v>
      </c>
    </row>
    <row r="31" spans="1:5" x14ac:dyDescent="0.25">
      <c r="A31" s="179" t="s">
        <v>123</v>
      </c>
      <c r="B31" s="179" t="s">
        <v>124</v>
      </c>
      <c r="C31" s="181">
        <v>0</v>
      </c>
      <c r="D31" s="181">
        <v>0</v>
      </c>
      <c r="E31" s="181">
        <v>0</v>
      </c>
    </row>
    <row r="32" spans="1:5" x14ac:dyDescent="0.25">
      <c r="A32" s="182" t="s">
        <v>125</v>
      </c>
      <c r="B32" s="183"/>
      <c r="C32" s="184">
        <f>SUM(C28:C31)</f>
        <v>0</v>
      </c>
      <c r="D32" s="184">
        <f>SUM(D28:D31)</f>
        <v>0</v>
      </c>
      <c r="E32" s="184">
        <f>SUM(E28:E31)</f>
        <v>0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5853019.4400000004</v>
      </c>
      <c r="D34" s="181">
        <v>-2276562.25</v>
      </c>
      <c r="E34" s="181">
        <v>3576457.19</v>
      </c>
    </row>
    <row r="35" spans="1:5" x14ac:dyDescent="0.25">
      <c r="A35" s="179" t="s">
        <v>128</v>
      </c>
      <c r="B35" s="179" t="s">
        <v>129</v>
      </c>
      <c r="C35" s="181">
        <v>1566298.28</v>
      </c>
      <c r="D35" s="181">
        <v>278722.78999999998</v>
      </c>
      <c r="E35" s="181">
        <v>1845021.07</v>
      </c>
    </row>
    <row r="36" spans="1:5" x14ac:dyDescent="0.25">
      <c r="A36" s="179" t="s">
        <v>130</v>
      </c>
      <c r="B36" s="179" t="s">
        <v>131</v>
      </c>
      <c r="C36" s="181">
        <v>260117.53</v>
      </c>
      <c r="D36" s="181">
        <v>55075.95</v>
      </c>
      <c r="E36" s="181">
        <v>315193.48</v>
      </c>
    </row>
    <row r="37" spans="1:5" x14ac:dyDescent="0.25">
      <c r="A37" s="179" t="s">
        <v>132</v>
      </c>
      <c r="B37" s="179" t="s">
        <v>133</v>
      </c>
      <c r="C37" s="181">
        <v>57699.57</v>
      </c>
      <c r="D37" s="181">
        <v>13368.23</v>
      </c>
      <c r="E37" s="181">
        <v>71067.8</v>
      </c>
    </row>
    <row r="38" spans="1:5" x14ac:dyDescent="0.25">
      <c r="A38" s="182" t="s">
        <v>134</v>
      </c>
      <c r="B38" s="183"/>
      <c r="C38" s="184">
        <f>SUM(C34:C37)</f>
        <v>7737134.8200000012</v>
      </c>
      <c r="D38" s="184">
        <f>SUM(D34:D37)</f>
        <v>-1929395.28</v>
      </c>
      <c r="E38" s="184">
        <f>SUM(E34:E37)</f>
        <v>5807739.54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-1577897770.5899999</v>
      </c>
      <c r="D40" s="181">
        <v>-191739966.96000001</v>
      </c>
      <c r="E40" s="181">
        <v>-1769637737.55</v>
      </c>
    </row>
    <row r="41" spans="1:5" x14ac:dyDescent="0.25">
      <c r="A41" s="179" t="s">
        <v>137</v>
      </c>
      <c r="B41" s="179" t="s">
        <v>138</v>
      </c>
      <c r="C41" s="181">
        <v>-3558715417.8099999</v>
      </c>
      <c r="D41" s="181">
        <v>-380569381.48000002</v>
      </c>
      <c r="E41" s="181">
        <v>-3939284799.29</v>
      </c>
    </row>
    <row r="42" spans="1:5" x14ac:dyDescent="0.25">
      <c r="A42" s="179" t="s">
        <v>139</v>
      </c>
      <c r="B42" s="179" t="s">
        <v>140</v>
      </c>
      <c r="C42" s="181">
        <v>-734243484.64999998</v>
      </c>
      <c r="D42" s="181">
        <v>-87689506</v>
      </c>
      <c r="E42" s="181">
        <v>-821932990.64999998</v>
      </c>
    </row>
    <row r="43" spans="1:5" x14ac:dyDescent="0.25">
      <c r="A43" s="179" t="s">
        <v>141</v>
      </c>
      <c r="B43" s="179" t="s">
        <v>142</v>
      </c>
      <c r="C43" s="181">
        <v>-40577822.969999999</v>
      </c>
      <c r="D43" s="181">
        <v>-12032597.039999999</v>
      </c>
      <c r="E43" s="181">
        <v>-52610420.009999998</v>
      </c>
    </row>
    <row r="44" spans="1:5" x14ac:dyDescent="0.25">
      <c r="A44" s="182" t="s">
        <v>143</v>
      </c>
      <c r="B44" s="183"/>
      <c r="C44" s="184">
        <f>SUM(C40:C43)</f>
        <v>-5911434496.0199995</v>
      </c>
      <c r="D44" s="184">
        <f>SUM(D40:D43)</f>
        <v>-672031451.48000002</v>
      </c>
      <c r="E44" s="184">
        <f>SUM(E40:E43)</f>
        <v>-6583465947.5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-110984130.48</v>
      </c>
      <c r="D56" s="181">
        <v>-4468619.8</v>
      </c>
      <c r="E56" s="181">
        <v>-115452750.28</v>
      </c>
    </row>
    <row r="57" spans="1:5" x14ac:dyDescent="0.25">
      <c r="A57" s="179" t="s">
        <v>152</v>
      </c>
      <c r="B57" s="179" t="s">
        <v>41</v>
      </c>
      <c r="C57" s="181">
        <v>-54427340.140000001</v>
      </c>
      <c r="D57" s="181">
        <v>-1361885.56</v>
      </c>
      <c r="E57" s="181">
        <v>-55789225.700000003</v>
      </c>
    </row>
    <row r="58" spans="1:5" x14ac:dyDescent="0.25">
      <c r="A58" s="179" t="s">
        <v>153</v>
      </c>
      <c r="B58" s="179" t="s">
        <v>42</v>
      </c>
      <c r="C58" s="181">
        <v>-3907996.74</v>
      </c>
      <c r="D58" s="181">
        <v>-172009.4</v>
      </c>
      <c r="E58" s="181">
        <v>-4080006.14</v>
      </c>
    </row>
    <row r="59" spans="1:5" x14ac:dyDescent="0.25">
      <c r="A59" s="179" t="s">
        <v>154</v>
      </c>
      <c r="B59" s="179" t="s">
        <v>43</v>
      </c>
      <c r="C59" s="181">
        <v>-6731214.6699999999</v>
      </c>
      <c r="D59" s="181">
        <v>-722791.23</v>
      </c>
      <c r="E59" s="181">
        <v>-7454005.9000000004</v>
      </c>
    </row>
    <row r="60" spans="1:5" x14ac:dyDescent="0.25">
      <c r="A60" s="182" t="s">
        <v>155</v>
      </c>
      <c r="B60" s="183"/>
      <c r="C60" s="184">
        <f>SUM(C56:C59)</f>
        <v>-176050682.03</v>
      </c>
      <c r="D60" s="184">
        <f>SUM(D56:D59)</f>
        <v>-6725305.9900000002</v>
      </c>
      <c r="E60" s="184">
        <f>SUM(E56:E59)</f>
        <v>-182775988.02000001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40557623.82</v>
      </c>
      <c r="D62" s="181">
        <v>1810581.71</v>
      </c>
      <c r="E62" s="181">
        <v>42368205.530000001</v>
      </c>
    </row>
    <row r="63" spans="1:5" x14ac:dyDescent="0.25">
      <c r="A63" s="179" t="s">
        <v>158</v>
      </c>
      <c r="B63" s="179" t="s">
        <v>159</v>
      </c>
      <c r="C63" s="181">
        <v>3457025.16</v>
      </c>
      <c r="D63" s="181">
        <v>115456.84</v>
      </c>
      <c r="E63" s="181">
        <v>3572482</v>
      </c>
    </row>
    <row r="64" spans="1:5" x14ac:dyDescent="0.25">
      <c r="A64" s="179" t="s">
        <v>160</v>
      </c>
      <c r="B64" s="179" t="s">
        <v>161</v>
      </c>
      <c r="C64" s="181">
        <v>1350326.85</v>
      </c>
      <c r="D64" s="181">
        <v>27073.05</v>
      </c>
      <c r="E64" s="181">
        <v>1377399.9</v>
      </c>
    </row>
    <row r="65" spans="1:5" x14ac:dyDescent="0.25">
      <c r="A65" s="179" t="s">
        <v>162</v>
      </c>
      <c r="B65" s="179" t="s">
        <v>163</v>
      </c>
      <c r="C65" s="181">
        <v>2473421.0299999998</v>
      </c>
      <c r="D65" s="181">
        <v>134262.29</v>
      </c>
      <c r="E65" s="181">
        <v>2607683.3199999998</v>
      </c>
    </row>
    <row r="66" spans="1:5" x14ac:dyDescent="0.25">
      <c r="A66" s="182" t="s">
        <v>164</v>
      </c>
      <c r="B66" s="183"/>
      <c r="C66" s="184">
        <f>SUM(C62:C65)</f>
        <v>47838396.860000007</v>
      </c>
      <c r="D66" s="184">
        <f>SUM(D62:D65)</f>
        <v>2087373.8900000001</v>
      </c>
      <c r="E66" s="184">
        <f>SUM(E62:E65)</f>
        <v>49925770.75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33934523.592400633</v>
      </c>
      <c r="D68" s="184">
        <f>D14+D20+D26+D32+D38+D44+D46+D54+D60+D66</f>
        <v>-34135660.960000016</v>
      </c>
      <c r="E68" s="184">
        <f>E14+E20+E26+E32+E38+E44+E46+E54+E60+E66</f>
        <v>-201137.36759999394</v>
      </c>
    </row>
    <row r="70" spans="1:5" x14ac:dyDescent="0.25">
      <c r="D70" s="187"/>
      <c r="E70" s="187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4" workbookViewId="0">
      <selection activeCell="B58" sqref="B58"/>
    </sheetView>
  </sheetViews>
  <sheetFormatPr defaultRowHeight="13.2" x14ac:dyDescent="0.25"/>
  <cols>
    <col min="1" max="1" width="36.44140625" customWidth="1"/>
    <col min="2" max="2" width="30.6640625" customWidth="1"/>
    <col min="3" max="3" width="16.5546875" bestFit="1" customWidth="1"/>
    <col min="4" max="4" width="15" bestFit="1" customWidth="1"/>
    <col min="5" max="5" width="16.5546875" bestFit="1" customWidth="1"/>
  </cols>
  <sheetData>
    <row r="1" spans="1:5" x14ac:dyDescent="0.25">
      <c r="A1" s="169" t="s">
        <v>53</v>
      </c>
      <c r="B1" s="170"/>
      <c r="C1" s="170"/>
      <c r="D1" s="170"/>
      <c r="E1" s="170"/>
    </row>
    <row r="2" spans="1:5" x14ac:dyDescent="0.25">
      <c r="A2" s="171" t="s">
        <v>86</v>
      </c>
      <c r="B2" s="172"/>
      <c r="C2" s="172"/>
      <c r="D2" s="172"/>
      <c r="E2" s="172"/>
    </row>
    <row r="3" spans="1:5" x14ac:dyDescent="0.25">
      <c r="A3" s="169" t="s">
        <v>191</v>
      </c>
      <c r="B3" s="170"/>
      <c r="C3" s="170"/>
      <c r="D3" s="170"/>
      <c r="E3" s="170"/>
    </row>
    <row r="4" spans="1:5" x14ac:dyDescent="0.25">
      <c r="A4" s="173" t="s">
        <v>88</v>
      </c>
      <c r="B4" s="174"/>
      <c r="C4" s="174"/>
      <c r="D4" s="174"/>
      <c r="E4" s="174"/>
    </row>
    <row r="5" spans="1:5" x14ac:dyDescent="0.25">
      <c r="A5" s="175" t="s">
        <v>192</v>
      </c>
      <c r="B5" s="176"/>
      <c r="C5" s="176"/>
      <c r="D5" s="176"/>
      <c r="E5" s="176"/>
    </row>
    <row r="6" spans="1:5" x14ac:dyDescent="0.25">
      <c r="A6" s="177"/>
      <c r="B6" s="177"/>
      <c r="C6" s="177"/>
      <c r="D6" s="177"/>
      <c r="E6" s="177"/>
    </row>
    <row r="7" spans="1:5" x14ac:dyDescent="0.25">
      <c r="A7" s="177"/>
      <c r="B7" s="178" t="s">
        <v>30</v>
      </c>
      <c r="C7" s="178" t="s">
        <v>90</v>
      </c>
      <c r="D7" s="178" t="s">
        <v>193</v>
      </c>
      <c r="E7" s="178" t="s">
        <v>92</v>
      </c>
    </row>
    <row r="8" spans="1:5" x14ac:dyDescent="0.25">
      <c r="A8" s="186"/>
      <c r="B8" s="177"/>
      <c r="C8" s="177"/>
      <c r="D8" s="177"/>
      <c r="E8" s="177"/>
    </row>
    <row r="9" spans="1:5" x14ac:dyDescent="0.25">
      <c r="A9" s="179" t="s">
        <v>93</v>
      </c>
      <c r="B9" s="179" t="s">
        <v>34</v>
      </c>
      <c r="C9" s="180">
        <v>1602204869.1600001</v>
      </c>
      <c r="D9" s="180">
        <v>174076882.43000001</v>
      </c>
      <c r="E9" s="180">
        <v>1776281751.5899999</v>
      </c>
    </row>
    <row r="10" spans="1:5" x14ac:dyDescent="0.25">
      <c r="A10" s="179" t="s">
        <v>94</v>
      </c>
      <c r="B10" s="179" t="s">
        <v>35</v>
      </c>
      <c r="C10" s="181">
        <v>3100282614.7399998</v>
      </c>
      <c r="D10" s="181">
        <v>366372280.5</v>
      </c>
      <c r="E10" s="181">
        <v>3466654895.2399998</v>
      </c>
    </row>
    <row r="11" spans="1:5" x14ac:dyDescent="0.25">
      <c r="A11" s="179" t="s">
        <v>95</v>
      </c>
      <c r="B11" s="179" t="s">
        <v>36</v>
      </c>
      <c r="C11" s="181">
        <v>588430673.60000002</v>
      </c>
      <c r="D11" s="181">
        <v>74159780.200000003</v>
      </c>
      <c r="E11" s="181">
        <v>662590453.79999995</v>
      </c>
    </row>
    <row r="12" spans="1:5" x14ac:dyDescent="0.25">
      <c r="A12" s="179" t="s">
        <v>96</v>
      </c>
      <c r="B12" s="179" t="s">
        <v>37</v>
      </c>
      <c r="C12" s="181">
        <v>137625787.11000001</v>
      </c>
      <c r="D12" s="181">
        <v>18019433.899999999</v>
      </c>
      <c r="E12" s="181">
        <v>155645221.00999999</v>
      </c>
    </row>
    <row r="13" spans="1:5" x14ac:dyDescent="0.25">
      <c r="A13" s="179" t="s">
        <v>97</v>
      </c>
      <c r="B13" s="179" t="s">
        <v>38</v>
      </c>
      <c r="C13" s="181">
        <v>0</v>
      </c>
      <c r="D13" s="181">
        <v>0</v>
      </c>
      <c r="E13" s="181">
        <v>0</v>
      </c>
    </row>
    <row r="14" spans="1:5" x14ac:dyDescent="0.25">
      <c r="A14" s="182" t="s">
        <v>98</v>
      </c>
      <c r="B14" s="183"/>
      <c r="C14" s="184">
        <f>SUM(C9:C13)</f>
        <v>5428543944.6099997</v>
      </c>
      <c r="D14" s="184">
        <f>SUM(D9:D13)</f>
        <v>632628377.03000009</v>
      </c>
      <c r="E14" s="184">
        <f>SUM(E9:E13)</f>
        <v>6061172321.6400003</v>
      </c>
    </row>
    <row r="15" spans="1:5" x14ac:dyDescent="0.25">
      <c r="A15" s="185"/>
      <c r="B15" s="185"/>
      <c r="C15" s="181"/>
      <c r="D15" s="181"/>
      <c r="E15" s="181"/>
    </row>
    <row r="16" spans="1:5" x14ac:dyDescent="0.25">
      <c r="A16" s="179" t="s">
        <v>99</v>
      </c>
      <c r="B16" s="179" t="s">
        <v>100</v>
      </c>
      <c r="C16" s="181">
        <v>663488.27</v>
      </c>
      <c r="D16" s="181">
        <v>94002.3</v>
      </c>
      <c r="E16" s="181">
        <v>757490.57</v>
      </c>
    </row>
    <row r="17" spans="1:5" x14ac:dyDescent="0.25">
      <c r="A17" s="179" t="s">
        <v>101</v>
      </c>
      <c r="B17" s="179" t="s">
        <v>102</v>
      </c>
      <c r="C17" s="181">
        <v>1294797.2</v>
      </c>
      <c r="D17" s="181">
        <v>197751.38</v>
      </c>
      <c r="E17" s="181">
        <v>1492548.58</v>
      </c>
    </row>
    <row r="18" spans="1:5" x14ac:dyDescent="0.25">
      <c r="A18" s="179" t="s">
        <v>103</v>
      </c>
      <c r="B18" s="179" t="s">
        <v>104</v>
      </c>
      <c r="C18" s="181">
        <v>244025.15</v>
      </c>
      <c r="D18" s="181">
        <v>40046.629999999997</v>
      </c>
      <c r="E18" s="181">
        <v>284071.78000000003</v>
      </c>
    </row>
    <row r="19" spans="1:5" x14ac:dyDescent="0.25">
      <c r="A19" s="179" t="s">
        <v>105</v>
      </c>
      <c r="B19" s="179" t="s">
        <v>106</v>
      </c>
      <c r="C19" s="181">
        <v>56388.43</v>
      </c>
      <c r="D19" s="181">
        <v>9735.75</v>
      </c>
      <c r="E19" s="181">
        <v>66124.179999999993</v>
      </c>
    </row>
    <row r="20" spans="1:5" x14ac:dyDescent="0.25">
      <c r="A20" s="182" t="s">
        <v>107</v>
      </c>
      <c r="B20" s="183"/>
      <c r="C20" s="184">
        <f>SUM(C16:C19)</f>
        <v>2258699.0500000003</v>
      </c>
      <c r="D20" s="184">
        <f>SUM(D16:D19)</f>
        <v>341536.06</v>
      </c>
      <c r="E20" s="184">
        <f>SUM(E16:E19)</f>
        <v>2600235.11</v>
      </c>
    </row>
    <row r="21" spans="1:5" x14ac:dyDescent="0.25">
      <c r="A21" s="185"/>
      <c r="B21" s="185"/>
      <c r="C21" s="181"/>
      <c r="D21" s="181"/>
      <c r="E21" s="181"/>
    </row>
    <row r="22" spans="1:5" x14ac:dyDescent="0.25">
      <c r="A22" s="179" t="s">
        <v>108</v>
      </c>
      <c r="B22" s="179" t="s">
        <v>109</v>
      </c>
      <c r="C22" s="181">
        <v>443246.74</v>
      </c>
      <c r="D22" s="181">
        <v>153602.82</v>
      </c>
      <c r="E22" s="181">
        <v>596849.56000000006</v>
      </c>
    </row>
    <row r="23" spans="1:5" x14ac:dyDescent="0.25">
      <c r="A23" s="179" t="s">
        <v>110</v>
      </c>
      <c r="B23" s="179" t="s">
        <v>111</v>
      </c>
      <c r="C23" s="181">
        <v>864830.21</v>
      </c>
      <c r="D23" s="181">
        <v>323280.21999999997</v>
      </c>
      <c r="E23" s="181">
        <v>1188110.43</v>
      </c>
    </row>
    <row r="24" spans="1:5" x14ac:dyDescent="0.25">
      <c r="A24" s="179" t="s">
        <v>112</v>
      </c>
      <c r="B24" s="179" t="s">
        <v>113</v>
      </c>
      <c r="C24" s="181">
        <v>163981.23000000001</v>
      </c>
      <c r="D24" s="181">
        <v>65415.19</v>
      </c>
      <c r="E24" s="181">
        <v>229396.42</v>
      </c>
    </row>
    <row r="25" spans="1:5" x14ac:dyDescent="0.25">
      <c r="A25" s="179" t="s">
        <v>114</v>
      </c>
      <c r="B25" s="179" t="s">
        <v>115</v>
      </c>
      <c r="C25" s="181">
        <v>41405.412400000001</v>
      </c>
      <c r="D25" s="181">
        <v>15851.39</v>
      </c>
      <c r="E25" s="181">
        <v>57256.8024</v>
      </c>
    </row>
    <row r="26" spans="1:5" x14ac:dyDescent="0.25">
      <c r="A26" s="182" t="s">
        <v>116</v>
      </c>
      <c r="B26" s="183"/>
      <c r="C26" s="184">
        <f>SUM(C22:C25)</f>
        <v>1513463.5924</v>
      </c>
      <c r="D26" s="184">
        <f>SUM(D22:D25)</f>
        <v>558149.62</v>
      </c>
      <c r="E26" s="184">
        <f>SUM(E22:E25)</f>
        <v>2071613.2123999998</v>
      </c>
    </row>
    <row r="27" spans="1:5" x14ac:dyDescent="0.25">
      <c r="A27" s="185"/>
      <c r="B27" s="185"/>
      <c r="C27" s="181"/>
      <c r="D27" s="181"/>
      <c r="E27" s="181"/>
    </row>
    <row r="28" spans="1:5" x14ac:dyDescent="0.25">
      <c r="A28" s="179" t="s">
        <v>117</v>
      </c>
      <c r="B28" s="179" t="s">
        <v>118</v>
      </c>
      <c r="C28" s="181">
        <v>0</v>
      </c>
      <c r="D28" s="181">
        <v>0</v>
      </c>
      <c r="E28" s="181">
        <v>0</v>
      </c>
    </row>
    <row r="29" spans="1:5" x14ac:dyDescent="0.25">
      <c r="A29" s="179" t="s">
        <v>119</v>
      </c>
      <c r="B29" s="179" t="s">
        <v>120</v>
      </c>
      <c r="C29" s="181">
        <v>0</v>
      </c>
      <c r="D29" s="181">
        <v>0</v>
      </c>
      <c r="E29" s="181">
        <v>0</v>
      </c>
    </row>
    <row r="30" spans="1:5" x14ac:dyDescent="0.25">
      <c r="A30" s="179" t="s">
        <v>121</v>
      </c>
      <c r="B30" s="179" t="s">
        <v>122</v>
      </c>
      <c r="C30" s="181">
        <v>0</v>
      </c>
      <c r="D30" s="181">
        <v>0</v>
      </c>
      <c r="E30" s="181">
        <v>0</v>
      </c>
    </row>
    <row r="31" spans="1:5" x14ac:dyDescent="0.25">
      <c r="A31" s="179" t="s">
        <v>123</v>
      </c>
      <c r="B31" s="179" t="s">
        <v>124</v>
      </c>
      <c r="C31" s="181">
        <v>0</v>
      </c>
      <c r="D31" s="181">
        <v>0</v>
      </c>
      <c r="E31" s="181">
        <v>0</v>
      </c>
    </row>
    <row r="32" spans="1:5" x14ac:dyDescent="0.25">
      <c r="A32" s="182" t="s">
        <v>125</v>
      </c>
      <c r="B32" s="183"/>
      <c r="C32" s="184">
        <f>SUM(C28:C31)</f>
        <v>0</v>
      </c>
      <c r="D32" s="184">
        <f>SUM(D28:D31)</f>
        <v>0</v>
      </c>
      <c r="E32" s="184">
        <f>SUM(E28:E31)</f>
        <v>0</v>
      </c>
    </row>
    <row r="33" spans="1:5" x14ac:dyDescent="0.25">
      <c r="A33" s="185"/>
      <c r="B33" s="185"/>
      <c r="C33" s="181"/>
      <c r="D33" s="181"/>
      <c r="E33" s="181"/>
    </row>
    <row r="34" spans="1:5" x14ac:dyDescent="0.25">
      <c r="A34" s="179" t="s">
        <v>126</v>
      </c>
      <c r="B34" s="179" t="s">
        <v>127</v>
      </c>
      <c r="C34" s="181">
        <v>5875330.4199999999</v>
      </c>
      <c r="D34" s="181">
        <v>-22310.98</v>
      </c>
      <c r="E34" s="181">
        <v>5853019.4400000004</v>
      </c>
    </row>
    <row r="35" spans="1:5" x14ac:dyDescent="0.25">
      <c r="A35" s="179" t="s">
        <v>128</v>
      </c>
      <c r="B35" s="179" t="s">
        <v>129</v>
      </c>
      <c r="C35" s="181">
        <v>1504165.52</v>
      </c>
      <c r="D35" s="181">
        <v>62132.76</v>
      </c>
      <c r="E35" s="181">
        <v>1566298.28</v>
      </c>
    </row>
    <row r="36" spans="1:5" x14ac:dyDescent="0.25">
      <c r="A36" s="179" t="s">
        <v>130</v>
      </c>
      <c r="B36" s="179" t="s">
        <v>131</v>
      </c>
      <c r="C36" s="181">
        <v>248647.03</v>
      </c>
      <c r="D36" s="181">
        <v>11470.5</v>
      </c>
      <c r="E36" s="181">
        <v>260117.53</v>
      </c>
    </row>
    <row r="37" spans="1:5" x14ac:dyDescent="0.25">
      <c r="A37" s="179" t="s">
        <v>132</v>
      </c>
      <c r="B37" s="179" t="s">
        <v>133</v>
      </c>
      <c r="C37" s="181">
        <v>53802.75</v>
      </c>
      <c r="D37" s="181">
        <v>3896.82</v>
      </c>
      <c r="E37" s="181">
        <v>57699.57</v>
      </c>
    </row>
    <row r="38" spans="1:5" x14ac:dyDescent="0.25">
      <c r="A38" s="182" t="s">
        <v>134</v>
      </c>
      <c r="B38" s="183"/>
      <c r="C38" s="184">
        <f>SUM(C34:C37)</f>
        <v>7681945.7199999997</v>
      </c>
      <c r="D38" s="184">
        <f>SUM(D34:D37)</f>
        <v>55189.1</v>
      </c>
      <c r="E38" s="184">
        <f>SUM(E34:E37)</f>
        <v>7737134.8200000012</v>
      </c>
    </row>
    <row r="39" spans="1:5" x14ac:dyDescent="0.25">
      <c r="A39" s="185"/>
      <c r="B39" s="185"/>
      <c r="C39" s="181"/>
      <c r="D39" s="181"/>
      <c r="E39" s="181"/>
    </row>
    <row r="40" spans="1:5" x14ac:dyDescent="0.25">
      <c r="A40" s="179" t="s">
        <v>135</v>
      </c>
      <c r="B40" s="179" t="s">
        <v>136</v>
      </c>
      <c r="C40" s="181">
        <v>-1416207775.53</v>
      </c>
      <c r="D40" s="181">
        <v>-161689995.06</v>
      </c>
      <c r="E40" s="181">
        <v>-1577897770.5899999</v>
      </c>
    </row>
    <row r="41" spans="1:5" x14ac:dyDescent="0.25">
      <c r="A41" s="179" t="s">
        <v>137</v>
      </c>
      <c r="B41" s="179" t="s">
        <v>138</v>
      </c>
      <c r="C41" s="181">
        <v>-3222883741.0100002</v>
      </c>
      <c r="D41" s="181">
        <v>-335831676.80000001</v>
      </c>
      <c r="E41" s="181">
        <v>-3558715417.8099999</v>
      </c>
    </row>
    <row r="42" spans="1:5" x14ac:dyDescent="0.25">
      <c r="A42" s="179" t="s">
        <v>139</v>
      </c>
      <c r="B42" s="179" t="s">
        <v>140</v>
      </c>
      <c r="C42" s="181">
        <v>-650472178.92999995</v>
      </c>
      <c r="D42" s="181">
        <v>-83771305.719999999</v>
      </c>
      <c r="E42" s="181">
        <v>-734243484.64999998</v>
      </c>
    </row>
    <row r="43" spans="1:5" x14ac:dyDescent="0.25">
      <c r="A43" s="179" t="s">
        <v>141</v>
      </c>
      <c r="B43" s="179" t="s">
        <v>142</v>
      </c>
      <c r="C43" s="181">
        <v>-29850244.16</v>
      </c>
      <c r="D43" s="181">
        <v>-10727578.810000001</v>
      </c>
      <c r="E43" s="181">
        <v>-40577822.969999999</v>
      </c>
    </row>
    <row r="44" spans="1:5" x14ac:dyDescent="0.25">
      <c r="A44" s="182" t="s">
        <v>143</v>
      </c>
      <c r="B44" s="183"/>
      <c r="C44" s="184">
        <f>SUM(C40:C43)</f>
        <v>-5319413939.6300001</v>
      </c>
      <c r="D44" s="184">
        <f>SUM(D40:D43)</f>
        <v>-592020556.38999999</v>
      </c>
      <c r="E44" s="184">
        <f>SUM(E40:E43)</f>
        <v>-5911434496.0199995</v>
      </c>
    </row>
    <row r="45" spans="1:5" x14ac:dyDescent="0.25">
      <c r="A45" s="185"/>
      <c r="B45" s="185"/>
      <c r="C45" s="181"/>
      <c r="D45" s="181"/>
      <c r="E45" s="181"/>
    </row>
    <row r="46" spans="1:5" x14ac:dyDescent="0.25">
      <c r="A46" s="182" t="s">
        <v>144</v>
      </c>
      <c r="B46" s="182" t="s">
        <v>39</v>
      </c>
      <c r="C46" s="184">
        <v>0</v>
      </c>
      <c r="D46" s="184">
        <v>0</v>
      </c>
      <c r="E46" s="184">
        <v>0</v>
      </c>
    </row>
    <row r="47" spans="1:5" x14ac:dyDescent="0.25">
      <c r="A47" s="179" t="s">
        <v>145</v>
      </c>
      <c r="B47" s="185"/>
      <c r="C47" s="181"/>
      <c r="D47" s="181"/>
      <c r="E47" s="181"/>
    </row>
    <row r="48" spans="1:5" x14ac:dyDescent="0.25">
      <c r="A48" s="185"/>
      <c r="B48" s="185"/>
      <c r="C48" s="181"/>
      <c r="D48" s="181"/>
      <c r="E48" s="181"/>
    </row>
    <row r="49" spans="1:5" x14ac:dyDescent="0.25">
      <c r="A49" s="185"/>
      <c r="B49" s="185"/>
      <c r="C49" s="181"/>
      <c r="D49" s="181"/>
      <c r="E49" s="181"/>
    </row>
    <row r="50" spans="1:5" x14ac:dyDescent="0.25">
      <c r="A50" s="179" t="s">
        <v>146</v>
      </c>
      <c r="B50" s="179" t="s">
        <v>80</v>
      </c>
      <c r="C50" s="181">
        <v>0</v>
      </c>
      <c r="D50" s="181">
        <v>0</v>
      </c>
      <c r="E50" s="181">
        <v>0</v>
      </c>
    </row>
    <row r="51" spans="1:5" x14ac:dyDescent="0.25">
      <c r="A51" s="179" t="s">
        <v>147</v>
      </c>
      <c r="B51" s="179" t="s">
        <v>81</v>
      </c>
      <c r="C51" s="181">
        <v>0</v>
      </c>
      <c r="D51" s="181">
        <v>0</v>
      </c>
      <c r="E51" s="181">
        <v>0</v>
      </c>
    </row>
    <row r="52" spans="1:5" x14ac:dyDescent="0.25">
      <c r="A52" s="179" t="s">
        <v>148</v>
      </c>
      <c r="B52" s="179" t="s">
        <v>82</v>
      </c>
      <c r="C52" s="181">
        <v>0</v>
      </c>
      <c r="D52" s="181">
        <v>0</v>
      </c>
      <c r="E52" s="181">
        <v>0</v>
      </c>
    </row>
    <row r="53" spans="1:5" x14ac:dyDescent="0.25">
      <c r="A53" s="179" t="s">
        <v>149</v>
      </c>
      <c r="B53" s="179" t="s">
        <v>83</v>
      </c>
      <c r="C53" s="181">
        <v>0</v>
      </c>
      <c r="D53" s="181">
        <v>0</v>
      </c>
      <c r="E53" s="181">
        <v>0</v>
      </c>
    </row>
    <row r="54" spans="1:5" x14ac:dyDescent="0.25">
      <c r="A54" s="182" t="s">
        <v>150</v>
      </c>
      <c r="B54" s="183"/>
      <c r="C54" s="184">
        <f>SUM(C50:C53)</f>
        <v>0</v>
      </c>
      <c r="D54" s="184">
        <f>SUM(D50:D53)</f>
        <v>0</v>
      </c>
      <c r="E54" s="184">
        <f>SUM(E50:E53)</f>
        <v>0</v>
      </c>
    </row>
    <row r="55" spans="1:5" x14ac:dyDescent="0.25">
      <c r="A55" s="185"/>
      <c r="B55" s="185"/>
      <c r="C55" s="181"/>
      <c r="D55" s="181"/>
      <c r="E55" s="181"/>
    </row>
    <row r="56" spans="1:5" x14ac:dyDescent="0.25">
      <c r="A56" s="179" t="s">
        <v>151</v>
      </c>
      <c r="B56" s="179" t="s">
        <v>40</v>
      </c>
      <c r="C56" s="181">
        <v>-105945886.44</v>
      </c>
      <c r="D56" s="181">
        <v>-5038244.04</v>
      </c>
      <c r="E56" s="181">
        <v>-110984130.48</v>
      </c>
    </row>
    <row r="57" spans="1:5" x14ac:dyDescent="0.25">
      <c r="A57" s="179" t="s">
        <v>152</v>
      </c>
      <c r="B57" s="179" t="s">
        <v>41</v>
      </c>
      <c r="C57" s="181">
        <v>-41099096.909999996</v>
      </c>
      <c r="D57" s="181">
        <v>-13328243.23</v>
      </c>
      <c r="E57" s="181">
        <v>-54427340.140000001</v>
      </c>
    </row>
    <row r="58" spans="1:5" x14ac:dyDescent="0.25">
      <c r="A58" s="179" t="s">
        <v>153</v>
      </c>
      <c r="B58" s="179" t="s">
        <v>42</v>
      </c>
      <c r="C58" s="181">
        <v>-2557860.34</v>
      </c>
      <c r="D58" s="181">
        <v>-1350136.4</v>
      </c>
      <c r="E58" s="181">
        <v>-3907996.74</v>
      </c>
    </row>
    <row r="59" spans="1:5" x14ac:dyDescent="0.25">
      <c r="A59" s="179" t="s">
        <v>154</v>
      </c>
      <c r="B59" s="179" t="s">
        <v>43</v>
      </c>
      <c r="C59" s="181">
        <v>-6179144.8899999997</v>
      </c>
      <c r="D59" s="181">
        <v>-552069.78</v>
      </c>
      <c r="E59" s="181">
        <v>-6731214.6699999999</v>
      </c>
    </row>
    <row r="60" spans="1:5" x14ac:dyDescent="0.25">
      <c r="A60" s="182" t="s">
        <v>155</v>
      </c>
      <c r="B60" s="183"/>
      <c r="C60" s="184">
        <f>SUM(C56:C59)</f>
        <v>-155781988.57999998</v>
      </c>
      <c r="D60" s="184">
        <f>SUM(D56:D59)</f>
        <v>-20268693.449999999</v>
      </c>
      <c r="E60" s="184">
        <f>SUM(E56:E59)</f>
        <v>-176050682.03</v>
      </c>
    </row>
    <row r="61" spans="1:5" x14ac:dyDescent="0.25">
      <c r="A61" s="185"/>
      <c r="B61" s="185"/>
      <c r="C61" s="181"/>
      <c r="D61" s="181"/>
      <c r="E61" s="181"/>
    </row>
    <row r="62" spans="1:5" x14ac:dyDescent="0.25">
      <c r="A62" s="179" t="s">
        <v>156</v>
      </c>
      <c r="B62" s="179" t="s">
        <v>157</v>
      </c>
      <c r="C62" s="181">
        <v>38680881.710000001</v>
      </c>
      <c r="D62" s="181">
        <v>1876742.11</v>
      </c>
      <c r="E62" s="181">
        <v>40557623.82</v>
      </c>
    </row>
    <row r="63" spans="1:5" x14ac:dyDescent="0.25">
      <c r="A63" s="179" t="s">
        <v>158</v>
      </c>
      <c r="B63" s="179" t="s">
        <v>159</v>
      </c>
      <c r="C63" s="181">
        <v>3340109.1</v>
      </c>
      <c r="D63" s="181">
        <v>116916.06</v>
      </c>
      <c r="E63" s="181">
        <v>3457025.16</v>
      </c>
    </row>
    <row r="64" spans="1:5" x14ac:dyDescent="0.25">
      <c r="A64" s="179" t="s">
        <v>160</v>
      </c>
      <c r="B64" s="179" t="s">
        <v>161</v>
      </c>
      <c r="C64" s="181">
        <v>1319311.72</v>
      </c>
      <c r="D64" s="181">
        <v>31015.13</v>
      </c>
      <c r="E64" s="181">
        <v>1350326.85</v>
      </c>
    </row>
    <row r="65" spans="1:5" x14ac:dyDescent="0.25">
      <c r="A65" s="179" t="s">
        <v>162</v>
      </c>
      <c r="B65" s="179" t="s">
        <v>163</v>
      </c>
      <c r="C65" s="181">
        <v>2335317.09</v>
      </c>
      <c r="D65" s="181">
        <v>138103.94</v>
      </c>
      <c r="E65" s="181">
        <v>2473421.0299999998</v>
      </c>
    </row>
    <row r="66" spans="1:5" x14ac:dyDescent="0.25">
      <c r="A66" s="182" t="s">
        <v>164</v>
      </c>
      <c r="B66" s="183"/>
      <c r="C66" s="184">
        <f>SUM(C62:C65)</f>
        <v>45675619.620000005</v>
      </c>
      <c r="D66" s="184">
        <f>SUM(D62:D65)</f>
        <v>2162777.2400000002</v>
      </c>
      <c r="E66" s="184">
        <f>SUM(E62:E65)</f>
        <v>47838396.860000007</v>
      </c>
    </row>
    <row r="67" spans="1:5" x14ac:dyDescent="0.25">
      <c r="A67" s="185"/>
      <c r="B67" s="185"/>
      <c r="C67" s="181"/>
      <c r="D67" s="181"/>
      <c r="E67" s="181"/>
    </row>
    <row r="68" spans="1:5" x14ac:dyDescent="0.25">
      <c r="A68" s="182" t="s">
        <v>31</v>
      </c>
      <c r="B68" s="183"/>
      <c r="C68" s="184">
        <f>C14+C20+C26+C32+C38+C44+C46+C54+C60+C66</f>
        <v>10477744.382399619</v>
      </c>
      <c r="D68" s="184">
        <f>D14+D20+D26+D32+D38+D44+D46+D54+D60+D66</f>
        <v>23456779.210000075</v>
      </c>
      <c r="E68" s="184">
        <f>E14+E20+E26+E32+E38+E44+E46+E54+E60+E66</f>
        <v>33934523.592400633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7" activePane="bottomLeft" state="frozenSplit"/>
      <selection pane="bottomLeft" activeCell="D69" sqref="D69:E69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186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190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188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1421038881.6300001</v>
      </c>
      <c r="D9" s="161">
        <v>181165987.53</v>
      </c>
      <c r="E9" s="161">
        <v>1602204869.1600001</v>
      </c>
    </row>
    <row r="10" spans="1:5" x14ac:dyDescent="0.25">
      <c r="A10" s="160" t="s">
        <v>94</v>
      </c>
      <c r="B10" s="160" t="s">
        <v>35</v>
      </c>
      <c r="C10" s="159">
        <v>2736837909.6199999</v>
      </c>
      <c r="D10" s="159">
        <v>363444705.12</v>
      </c>
      <c r="E10" s="159">
        <v>3100282614.7399998</v>
      </c>
    </row>
    <row r="11" spans="1:5" x14ac:dyDescent="0.25">
      <c r="A11" s="160" t="s">
        <v>95</v>
      </c>
      <c r="B11" s="160" t="s">
        <v>36</v>
      </c>
      <c r="C11" s="159">
        <v>520642813.62</v>
      </c>
      <c r="D11" s="159">
        <v>67787859.980000004</v>
      </c>
      <c r="E11" s="159">
        <v>588430673.60000002</v>
      </c>
    </row>
    <row r="12" spans="1:5" x14ac:dyDescent="0.25">
      <c r="A12" s="160" t="s">
        <v>96</v>
      </c>
      <c r="B12" s="160" t="s">
        <v>37</v>
      </c>
      <c r="C12" s="159">
        <v>114843151.37</v>
      </c>
      <c r="D12" s="159">
        <v>22782635.739999998</v>
      </c>
      <c r="E12" s="159">
        <v>137625787.11000001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4793362756.2399998</v>
      </c>
      <c r="D14" s="151">
        <f>SUM(D9:D13)</f>
        <v>635181188.37</v>
      </c>
      <c r="E14" s="151">
        <f>SUM(E9:E13)</f>
        <v>5428543944.6099997</v>
      </c>
    </row>
    <row r="16" spans="1:5" x14ac:dyDescent="0.25">
      <c r="A16" s="160" t="s">
        <v>99</v>
      </c>
      <c r="B16" s="160" t="s">
        <v>100</v>
      </c>
      <c r="C16" s="159">
        <v>549328.04</v>
      </c>
      <c r="D16" s="159">
        <v>114160.23</v>
      </c>
      <c r="E16" s="159">
        <v>663488.27</v>
      </c>
    </row>
    <row r="17" spans="1:5" x14ac:dyDescent="0.25">
      <c r="A17" s="160" t="s">
        <v>101</v>
      </c>
      <c r="B17" s="160" t="s">
        <v>102</v>
      </c>
      <c r="C17" s="159">
        <v>1065768.1399999999</v>
      </c>
      <c r="D17" s="159">
        <v>229029.06</v>
      </c>
      <c r="E17" s="159">
        <v>1294797.2</v>
      </c>
    </row>
    <row r="18" spans="1:5" x14ac:dyDescent="0.25">
      <c r="A18" s="160" t="s">
        <v>103</v>
      </c>
      <c r="B18" s="160" t="s">
        <v>104</v>
      </c>
      <c r="C18" s="159">
        <v>201273.93</v>
      </c>
      <c r="D18" s="159">
        <v>42751.22</v>
      </c>
      <c r="E18" s="159">
        <v>244025.15</v>
      </c>
    </row>
    <row r="19" spans="1:5" x14ac:dyDescent="0.25">
      <c r="A19" s="160" t="s">
        <v>105</v>
      </c>
      <c r="B19" s="160" t="s">
        <v>106</v>
      </c>
      <c r="C19" s="159">
        <v>42052.83</v>
      </c>
      <c r="D19" s="159">
        <v>14335.6</v>
      </c>
      <c r="E19" s="159">
        <v>56388.43</v>
      </c>
    </row>
    <row r="20" spans="1:5" s="150" customFormat="1" x14ac:dyDescent="0.25">
      <c r="A20" s="149" t="s">
        <v>107</v>
      </c>
      <c r="C20" s="151">
        <f>SUM(C16:C19)</f>
        <v>1858422.94</v>
      </c>
      <c r="D20" s="151">
        <f>SUM(D16:D19)</f>
        <v>400276.11</v>
      </c>
      <c r="E20" s="151">
        <f>SUM(E16:E19)</f>
        <v>2258699.0500000003</v>
      </c>
    </row>
    <row r="22" spans="1:5" x14ac:dyDescent="0.25">
      <c r="A22" s="160" t="s">
        <v>108</v>
      </c>
      <c r="B22" s="160" t="s">
        <v>109</v>
      </c>
      <c r="C22" s="159">
        <v>415822.63</v>
      </c>
      <c r="D22" s="159">
        <v>27424.11</v>
      </c>
      <c r="E22" s="159">
        <v>443246.74</v>
      </c>
    </row>
    <row r="23" spans="1:5" x14ac:dyDescent="0.25">
      <c r="A23" s="160" t="s">
        <v>110</v>
      </c>
      <c r="B23" s="160" t="s">
        <v>111</v>
      </c>
      <c r="C23" s="159">
        <v>809808.91</v>
      </c>
      <c r="D23" s="159">
        <v>55021.3</v>
      </c>
      <c r="E23" s="159">
        <v>864830.21</v>
      </c>
    </row>
    <row r="24" spans="1:5" x14ac:dyDescent="0.25">
      <c r="A24" s="160" t="s">
        <v>112</v>
      </c>
      <c r="B24" s="160" t="s">
        <v>113</v>
      </c>
      <c r="C24" s="159">
        <v>153721.24</v>
      </c>
      <c r="D24" s="159">
        <v>10259.99</v>
      </c>
      <c r="E24" s="159">
        <v>163981.23000000001</v>
      </c>
    </row>
    <row r="25" spans="1:5" x14ac:dyDescent="0.25">
      <c r="A25" s="160" t="s">
        <v>114</v>
      </c>
      <c r="B25" s="160" t="s">
        <v>115</v>
      </c>
      <c r="C25" s="159">
        <v>37953.402399999999</v>
      </c>
      <c r="D25" s="159">
        <v>3452.01</v>
      </c>
      <c r="E25" s="159">
        <v>41405.412400000001</v>
      </c>
    </row>
    <row r="26" spans="1:5" s="150" customFormat="1" x14ac:dyDescent="0.25">
      <c r="A26" s="149" t="s">
        <v>116</v>
      </c>
      <c r="C26" s="151">
        <f>SUM(C22:C25)</f>
        <v>1417306.1824</v>
      </c>
      <c r="D26" s="151">
        <f>SUM(D22:D25)</f>
        <v>96157.41</v>
      </c>
      <c r="E26" s="151">
        <f>SUM(E22:E25)</f>
        <v>1513463.5924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6596966.2599999998</v>
      </c>
      <c r="D34" s="159">
        <v>-721635.83999999997</v>
      </c>
      <c r="E34" s="159">
        <v>5875330.4199999999</v>
      </c>
    </row>
    <row r="35" spans="1:5" x14ac:dyDescent="0.25">
      <c r="A35" s="160" t="s">
        <v>128</v>
      </c>
      <c r="B35" s="160" t="s">
        <v>129</v>
      </c>
      <c r="C35" s="159">
        <v>2512358.88</v>
      </c>
      <c r="D35" s="159">
        <v>-1008193.36</v>
      </c>
      <c r="E35" s="159">
        <v>1504165.52</v>
      </c>
    </row>
    <row r="36" spans="1:5" x14ac:dyDescent="0.25">
      <c r="A36" s="160" t="s">
        <v>130</v>
      </c>
      <c r="B36" s="160" t="s">
        <v>131</v>
      </c>
      <c r="C36" s="159">
        <v>430586.75</v>
      </c>
      <c r="D36" s="159">
        <v>-181939.72</v>
      </c>
      <c r="E36" s="159">
        <v>248647.03</v>
      </c>
    </row>
    <row r="37" spans="1:5" x14ac:dyDescent="0.25">
      <c r="A37" s="160" t="s">
        <v>132</v>
      </c>
      <c r="B37" s="160" t="s">
        <v>133</v>
      </c>
      <c r="C37" s="159">
        <v>117137.08</v>
      </c>
      <c r="D37" s="159">
        <v>-63334.33</v>
      </c>
      <c r="E37" s="159">
        <v>53802.75</v>
      </c>
    </row>
    <row r="38" spans="1:5" s="150" customFormat="1" x14ac:dyDescent="0.25">
      <c r="A38" s="149" t="s">
        <v>134</v>
      </c>
      <c r="C38" s="151">
        <f>SUM(C34:C37)</f>
        <v>9657048.9700000007</v>
      </c>
      <c r="D38" s="151">
        <f>SUM(D34:D37)</f>
        <v>-1975103.25</v>
      </c>
      <c r="E38" s="151">
        <f>SUM(E34:E37)</f>
        <v>7681945.7199999997</v>
      </c>
    </row>
    <row r="40" spans="1:5" x14ac:dyDescent="0.25">
      <c r="A40" s="160" t="s">
        <v>135</v>
      </c>
      <c r="B40" s="160" t="s">
        <v>136</v>
      </c>
      <c r="C40" s="159">
        <v>-1287285614.8699999</v>
      </c>
      <c r="D40" s="159">
        <v>-128922160.66</v>
      </c>
      <c r="E40" s="159">
        <v>-1416207775.53</v>
      </c>
    </row>
    <row r="41" spans="1:5" x14ac:dyDescent="0.25">
      <c r="A41" s="160" t="s">
        <v>137</v>
      </c>
      <c r="B41" s="160" t="s">
        <v>138</v>
      </c>
      <c r="C41" s="159">
        <v>-2883395906.73</v>
      </c>
      <c r="D41" s="159">
        <v>-339487834.27999997</v>
      </c>
      <c r="E41" s="159">
        <v>-3222883741.0100002</v>
      </c>
    </row>
    <row r="42" spans="1:5" x14ac:dyDescent="0.25">
      <c r="A42" s="160" t="s">
        <v>139</v>
      </c>
      <c r="B42" s="160" t="s">
        <v>140</v>
      </c>
      <c r="C42" s="159">
        <v>-568198786.5</v>
      </c>
      <c r="D42" s="159">
        <v>-82273392.430000007</v>
      </c>
      <c r="E42" s="159">
        <v>-650472178.92999995</v>
      </c>
    </row>
    <row r="43" spans="1:5" x14ac:dyDescent="0.25">
      <c r="A43" s="160" t="s">
        <v>141</v>
      </c>
      <c r="B43" s="160" t="s">
        <v>142</v>
      </c>
      <c r="C43" s="159">
        <v>-22205135.420000002</v>
      </c>
      <c r="D43" s="159">
        <v>-7645108.7400000002</v>
      </c>
      <c r="E43" s="159">
        <v>-29850244.16</v>
      </c>
    </row>
    <row r="44" spans="1:5" s="150" customFormat="1" x14ac:dyDescent="0.25">
      <c r="A44" s="149" t="s">
        <v>143</v>
      </c>
      <c r="C44" s="151">
        <f>SUM(C40:C43)</f>
        <v>-4761085443.5200005</v>
      </c>
      <c r="D44" s="151">
        <f>SUM(D40:D43)</f>
        <v>-558328496.1099999</v>
      </c>
      <c r="E44" s="151">
        <f>SUM(E40:E43)</f>
        <v>-5319413939.6300001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-86776950.670000002</v>
      </c>
      <c r="D56" s="159">
        <v>-19168935.77</v>
      </c>
      <c r="E56" s="159">
        <v>-105945886.44</v>
      </c>
    </row>
    <row r="57" spans="1:5" x14ac:dyDescent="0.25">
      <c r="A57" s="160" t="s">
        <v>152</v>
      </c>
      <c r="B57" s="160" t="s">
        <v>41</v>
      </c>
      <c r="C57" s="159">
        <v>-33689944.909999996</v>
      </c>
      <c r="D57" s="159">
        <v>-7409152</v>
      </c>
      <c r="E57" s="159">
        <v>-41099096.909999996</v>
      </c>
    </row>
    <row r="58" spans="1:5" x14ac:dyDescent="0.25">
      <c r="A58" s="160" t="s">
        <v>153</v>
      </c>
      <c r="B58" s="160" t="s">
        <v>42</v>
      </c>
      <c r="C58" s="159">
        <v>-2177073.11</v>
      </c>
      <c r="D58" s="159">
        <v>-380787.23</v>
      </c>
      <c r="E58" s="159">
        <v>-2557860.34</v>
      </c>
    </row>
    <row r="59" spans="1:5" x14ac:dyDescent="0.25">
      <c r="A59" s="160" t="s">
        <v>154</v>
      </c>
      <c r="B59" s="160" t="s">
        <v>43</v>
      </c>
      <c r="C59" s="159">
        <v>-5531122.4400000004</v>
      </c>
      <c r="D59" s="159">
        <v>-648022.44999999995</v>
      </c>
      <c r="E59" s="159">
        <v>-6179144.8899999997</v>
      </c>
    </row>
    <row r="60" spans="1:5" s="150" customFormat="1" x14ac:dyDescent="0.25">
      <c r="A60" s="149" t="s">
        <v>155</v>
      </c>
      <c r="C60" s="151">
        <f>SUM(C56:C59)</f>
        <v>-128175091.13</v>
      </c>
      <c r="D60" s="151">
        <f>SUM(D56:D59)</f>
        <v>-27606897.449999999</v>
      </c>
      <c r="E60" s="151">
        <f>SUM(E56:E59)</f>
        <v>-155781988.57999998</v>
      </c>
    </row>
    <row r="62" spans="1:5" x14ac:dyDescent="0.25">
      <c r="A62" s="160" t="s">
        <v>156</v>
      </c>
      <c r="B62" s="160" t="s">
        <v>157</v>
      </c>
      <c r="C62" s="159">
        <v>36574800.579999998</v>
      </c>
      <c r="D62" s="159">
        <v>2106081.13</v>
      </c>
      <c r="E62" s="159">
        <v>38680881.710000001</v>
      </c>
    </row>
    <row r="63" spans="1:5" x14ac:dyDescent="0.25">
      <c r="A63" s="160" t="s">
        <v>158</v>
      </c>
      <c r="B63" s="160" t="s">
        <v>159</v>
      </c>
      <c r="C63" s="159">
        <v>3214054.38</v>
      </c>
      <c r="D63" s="159">
        <v>126054.72</v>
      </c>
      <c r="E63" s="159">
        <v>3340109.1</v>
      </c>
    </row>
    <row r="64" spans="1:5" x14ac:dyDescent="0.25">
      <c r="A64" s="160" t="s">
        <v>160</v>
      </c>
      <c r="B64" s="160" t="s">
        <v>161</v>
      </c>
      <c r="C64" s="159">
        <v>1273754.8799999999</v>
      </c>
      <c r="D64" s="159">
        <v>45556.84</v>
      </c>
      <c r="E64" s="159">
        <v>1319311.72</v>
      </c>
    </row>
    <row r="65" spans="1:5" x14ac:dyDescent="0.25">
      <c r="A65" s="160" t="s">
        <v>162</v>
      </c>
      <c r="B65" s="160" t="s">
        <v>163</v>
      </c>
      <c r="C65" s="159">
        <v>2186057.52</v>
      </c>
      <c r="D65" s="159">
        <v>149259.57</v>
      </c>
      <c r="E65" s="159">
        <v>2335317.09</v>
      </c>
    </row>
    <row r="66" spans="1:5" s="150" customFormat="1" x14ac:dyDescent="0.25">
      <c r="A66" s="149" t="s">
        <v>164</v>
      </c>
      <c r="C66" s="151">
        <f>SUM(C62:C65)</f>
        <v>43248667.360000007</v>
      </c>
      <c r="D66" s="151">
        <f>SUM(D62:D65)</f>
        <v>2426952.2599999998</v>
      </c>
      <c r="E66" s="151">
        <f>SUM(E62:E65)</f>
        <v>45675619.620000005</v>
      </c>
    </row>
    <row r="68" spans="1:5" s="150" customFormat="1" x14ac:dyDescent="0.25">
      <c r="A68" s="149" t="s">
        <v>31</v>
      </c>
      <c r="C68" s="151">
        <f>C14+C20+C26+C32+C38+C44+C46+C54+C60+C66</f>
        <v>-39716332.957601078</v>
      </c>
      <c r="D68" s="151">
        <f>D14+D20+D26+D32+D38+D44+D46+D54+D60+D66</f>
        <v>50194077.340000086</v>
      </c>
      <c r="E68" s="151">
        <f>E14+E20+E26+E32+E38+E44+E46+E54+E60+E66</f>
        <v>10477744.382399619</v>
      </c>
    </row>
  </sheetData>
  <pageMargins left="0.75" right="0.75" top="0.75" bottom="0.75" header="0.5" footer="0.5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ySplit="8" topLeftCell="A35" activePane="bottomLeft" state="frozenSplit"/>
      <selection pane="bottomLeft" activeCell="E68" sqref="E68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186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189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188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1421038881.6300001</v>
      </c>
      <c r="D9" s="161">
        <v>181165987.53</v>
      </c>
      <c r="E9" s="161">
        <v>1602204869.1600001</v>
      </c>
    </row>
    <row r="10" spans="1:5" x14ac:dyDescent="0.25">
      <c r="A10" s="160" t="s">
        <v>94</v>
      </c>
      <c r="B10" s="160" t="s">
        <v>35</v>
      </c>
      <c r="C10" s="159">
        <v>2736837909.6199999</v>
      </c>
      <c r="D10" s="159">
        <v>363444705.12</v>
      </c>
      <c r="E10" s="159">
        <v>3100282614.7399998</v>
      </c>
    </row>
    <row r="11" spans="1:5" x14ac:dyDescent="0.25">
      <c r="A11" s="160" t="s">
        <v>95</v>
      </c>
      <c r="B11" s="160" t="s">
        <v>36</v>
      </c>
      <c r="C11" s="159">
        <v>520642813.62</v>
      </c>
      <c r="D11" s="159">
        <v>67787859.980000004</v>
      </c>
      <c r="E11" s="159">
        <v>588430673.60000002</v>
      </c>
    </row>
    <row r="12" spans="1:5" x14ac:dyDescent="0.25">
      <c r="A12" s="160" t="s">
        <v>96</v>
      </c>
      <c r="B12" s="160" t="s">
        <v>37</v>
      </c>
      <c r="C12" s="159">
        <v>114843151.37</v>
      </c>
      <c r="D12" s="159">
        <v>22782635.739999998</v>
      </c>
      <c r="E12" s="159">
        <v>137625787.11000001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4793362756.2399998</v>
      </c>
      <c r="D14" s="151">
        <f>SUM(D9:D13)</f>
        <v>635181188.37</v>
      </c>
      <c r="E14" s="151">
        <f>SUM(E9:E13)</f>
        <v>5428543944.6099997</v>
      </c>
    </row>
    <row r="16" spans="1:5" x14ac:dyDescent="0.25">
      <c r="A16" s="160" t="s">
        <v>99</v>
      </c>
      <c r="B16" s="160" t="s">
        <v>100</v>
      </c>
      <c r="C16" s="159">
        <v>549328.04</v>
      </c>
      <c r="D16" s="159">
        <v>114160.23</v>
      </c>
      <c r="E16" s="159">
        <v>663488.27</v>
      </c>
    </row>
    <row r="17" spans="1:5" x14ac:dyDescent="0.25">
      <c r="A17" s="160" t="s">
        <v>101</v>
      </c>
      <c r="B17" s="160" t="s">
        <v>102</v>
      </c>
      <c r="C17" s="159">
        <v>1065768.1399999999</v>
      </c>
      <c r="D17" s="159">
        <v>229029.06</v>
      </c>
      <c r="E17" s="159">
        <v>1294797.2</v>
      </c>
    </row>
    <row r="18" spans="1:5" x14ac:dyDescent="0.25">
      <c r="A18" s="160" t="s">
        <v>103</v>
      </c>
      <c r="B18" s="160" t="s">
        <v>104</v>
      </c>
      <c r="C18" s="159">
        <v>201273.93</v>
      </c>
      <c r="D18" s="159">
        <v>42751.22</v>
      </c>
      <c r="E18" s="159">
        <v>244025.15</v>
      </c>
    </row>
    <row r="19" spans="1:5" x14ac:dyDescent="0.25">
      <c r="A19" s="160" t="s">
        <v>105</v>
      </c>
      <c r="B19" s="160" t="s">
        <v>106</v>
      </c>
      <c r="C19" s="159">
        <v>42052.83</v>
      </c>
      <c r="D19" s="159">
        <v>14335.6</v>
      </c>
      <c r="E19" s="159">
        <v>56388.43</v>
      </c>
    </row>
    <row r="20" spans="1:5" s="150" customFormat="1" x14ac:dyDescent="0.25">
      <c r="A20" s="149" t="s">
        <v>107</v>
      </c>
      <c r="C20" s="151">
        <f>SUM(C16:C19)</f>
        <v>1858422.94</v>
      </c>
      <c r="D20" s="151">
        <f>SUM(D16:D19)</f>
        <v>400276.11</v>
      </c>
      <c r="E20" s="151">
        <f>SUM(E16:E19)</f>
        <v>2258699.0500000003</v>
      </c>
    </row>
    <row r="22" spans="1:5" x14ac:dyDescent="0.25">
      <c r="A22" s="160" t="s">
        <v>108</v>
      </c>
      <c r="B22" s="160" t="s">
        <v>109</v>
      </c>
      <c r="C22" s="159">
        <v>415822.63</v>
      </c>
      <c r="D22" s="159">
        <v>27424.11</v>
      </c>
      <c r="E22" s="159">
        <v>443246.74</v>
      </c>
    </row>
    <row r="23" spans="1:5" x14ac:dyDescent="0.25">
      <c r="A23" s="160" t="s">
        <v>110</v>
      </c>
      <c r="B23" s="160" t="s">
        <v>111</v>
      </c>
      <c r="C23" s="159">
        <v>809808.91</v>
      </c>
      <c r="D23" s="159">
        <v>55021.3</v>
      </c>
      <c r="E23" s="159">
        <v>864830.21</v>
      </c>
    </row>
    <row r="24" spans="1:5" x14ac:dyDescent="0.25">
      <c r="A24" s="160" t="s">
        <v>112</v>
      </c>
      <c r="B24" s="160" t="s">
        <v>113</v>
      </c>
      <c r="C24" s="159">
        <v>153721.24</v>
      </c>
      <c r="D24" s="159">
        <v>10259.99</v>
      </c>
      <c r="E24" s="159">
        <v>163981.23000000001</v>
      </c>
    </row>
    <row r="25" spans="1:5" x14ac:dyDescent="0.25">
      <c r="A25" s="160" t="s">
        <v>114</v>
      </c>
      <c r="B25" s="160" t="s">
        <v>115</v>
      </c>
      <c r="C25" s="159">
        <v>37953.402399999999</v>
      </c>
      <c r="D25" s="159">
        <v>3452.01</v>
      </c>
      <c r="E25" s="159">
        <v>41405.412400000001</v>
      </c>
    </row>
    <row r="26" spans="1:5" s="150" customFormat="1" x14ac:dyDescent="0.25">
      <c r="A26" s="149" t="s">
        <v>116</v>
      </c>
      <c r="C26" s="151">
        <f>SUM(C22:C25)</f>
        <v>1417306.1824</v>
      </c>
      <c r="D26" s="151">
        <f>SUM(D22:D25)</f>
        <v>96157.41</v>
      </c>
      <c r="E26" s="151">
        <f>SUM(E22:E25)</f>
        <v>1513463.5924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6596966.2599999998</v>
      </c>
      <c r="D34" s="159">
        <v>-721635.83999999997</v>
      </c>
      <c r="E34" s="159">
        <v>5875330.4199999999</v>
      </c>
    </row>
    <row r="35" spans="1:5" x14ac:dyDescent="0.25">
      <c r="A35" s="160" t="s">
        <v>128</v>
      </c>
      <c r="B35" s="160" t="s">
        <v>129</v>
      </c>
      <c r="C35" s="159">
        <v>2512358.88</v>
      </c>
      <c r="D35" s="159">
        <v>-1008193.36</v>
      </c>
      <c r="E35" s="159">
        <v>1504165.52</v>
      </c>
    </row>
    <row r="36" spans="1:5" x14ac:dyDescent="0.25">
      <c r="A36" s="160" t="s">
        <v>130</v>
      </c>
      <c r="B36" s="160" t="s">
        <v>131</v>
      </c>
      <c r="C36" s="159">
        <v>430586.75</v>
      </c>
      <c r="D36" s="159">
        <v>-181939.72</v>
      </c>
      <c r="E36" s="159">
        <v>248647.03</v>
      </c>
    </row>
    <row r="37" spans="1:5" x14ac:dyDescent="0.25">
      <c r="A37" s="160" t="s">
        <v>132</v>
      </c>
      <c r="B37" s="160" t="s">
        <v>133</v>
      </c>
      <c r="C37" s="159">
        <v>117137.08</v>
      </c>
      <c r="D37" s="159">
        <v>-63334.33</v>
      </c>
      <c r="E37" s="159">
        <v>53802.75</v>
      </c>
    </row>
    <row r="38" spans="1:5" s="150" customFormat="1" x14ac:dyDescent="0.25">
      <c r="A38" s="149" t="s">
        <v>134</v>
      </c>
      <c r="C38" s="151">
        <f>SUM(C34:C37)</f>
        <v>9657048.9700000007</v>
      </c>
      <c r="D38" s="151">
        <f>SUM(D34:D37)</f>
        <v>-1975103.25</v>
      </c>
      <c r="E38" s="151">
        <f>SUM(E34:E37)</f>
        <v>7681945.7199999997</v>
      </c>
    </row>
    <row r="40" spans="1:5" x14ac:dyDescent="0.25">
      <c r="A40" s="160" t="s">
        <v>135</v>
      </c>
      <c r="B40" s="160" t="s">
        <v>136</v>
      </c>
      <c r="C40" s="159">
        <v>-1287285614.8699999</v>
      </c>
      <c r="D40" s="159">
        <v>-128671149.38</v>
      </c>
      <c r="E40" s="159">
        <v>-1415956764.25</v>
      </c>
    </row>
    <row r="41" spans="1:5" x14ac:dyDescent="0.25">
      <c r="A41" s="160" t="s">
        <v>137</v>
      </c>
      <c r="B41" s="160" t="s">
        <v>138</v>
      </c>
      <c r="C41" s="159">
        <v>-2883395906.73</v>
      </c>
      <c r="D41" s="159">
        <v>-339487834.27999997</v>
      </c>
      <c r="E41" s="159">
        <v>-3222883741.0100002</v>
      </c>
    </row>
    <row r="42" spans="1:5" x14ac:dyDescent="0.25">
      <c r="A42" s="160" t="s">
        <v>139</v>
      </c>
      <c r="B42" s="160" t="s">
        <v>140</v>
      </c>
      <c r="C42" s="159">
        <v>-568198786.5</v>
      </c>
      <c r="D42" s="159">
        <v>-82273392.430000007</v>
      </c>
      <c r="E42" s="159">
        <v>-650472178.92999995</v>
      </c>
    </row>
    <row r="43" spans="1:5" x14ac:dyDescent="0.25">
      <c r="A43" s="160" t="s">
        <v>141</v>
      </c>
      <c r="B43" s="160" t="s">
        <v>142</v>
      </c>
      <c r="C43" s="159">
        <v>-22205135.420000002</v>
      </c>
      <c r="D43" s="159">
        <v>-7594583.7400000002</v>
      </c>
      <c r="E43" s="159">
        <v>-29799719.16</v>
      </c>
    </row>
    <row r="44" spans="1:5" s="150" customFormat="1" x14ac:dyDescent="0.25">
      <c r="A44" s="149" t="s">
        <v>143</v>
      </c>
      <c r="C44" s="151">
        <f>SUM(C40:C43)</f>
        <v>-4761085443.5200005</v>
      </c>
      <c r="D44" s="151">
        <f>SUM(D40:D43)</f>
        <v>-558026959.82999992</v>
      </c>
      <c r="E44" s="151">
        <f>SUM(E40:E43)</f>
        <v>-5319112403.3500004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-86776950.670000002</v>
      </c>
      <c r="D56" s="159">
        <v>-19168935.77</v>
      </c>
      <c r="E56" s="159">
        <v>-105945886.44</v>
      </c>
    </row>
    <row r="57" spans="1:5" x14ac:dyDescent="0.25">
      <c r="A57" s="160" t="s">
        <v>152</v>
      </c>
      <c r="B57" s="160" t="s">
        <v>41</v>
      </c>
      <c r="C57" s="159">
        <v>-33689944.909999996</v>
      </c>
      <c r="D57" s="159">
        <v>-7409152</v>
      </c>
      <c r="E57" s="159">
        <v>-41099096.909999996</v>
      </c>
    </row>
    <row r="58" spans="1:5" x14ac:dyDescent="0.25">
      <c r="A58" s="160" t="s">
        <v>153</v>
      </c>
      <c r="B58" s="160" t="s">
        <v>42</v>
      </c>
      <c r="C58" s="159">
        <v>-2177073.11</v>
      </c>
      <c r="D58" s="159">
        <v>-380787.23</v>
      </c>
      <c r="E58" s="159">
        <v>-2557860.34</v>
      </c>
    </row>
    <row r="59" spans="1:5" x14ac:dyDescent="0.25">
      <c r="A59" s="160" t="s">
        <v>154</v>
      </c>
      <c r="B59" s="160" t="s">
        <v>43</v>
      </c>
      <c r="C59" s="159">
        <v>-5531122.4400000004</v>
      </c>
      <c r="D59" s="159">
        <v>-648022.44999999995</v>
      </c>
      <c r="E59" s="159">
        <v>-6179144.8899999997</v>
      </c>
    </row>
    <row r="60" spans="1:5" s="150" customFormat="1" x14ac:dyDescent="0.25">
      <c r="A60" s="149" t="s">
        <v>155</v>
      </c>
      <c r="C60" s="151">
        <f>SUM(C56:C59)</f>
        <v>-128175091.13</v>
      </c>
      <c r="D60" s="151">
        <f>SUM(D56:D59)</f>
        <v>-27606897.449999999</v>
      </c>
      <c r="E60" s="151">
        <f>SUM(E56:E59)</f>
        <v>-155781988.57999998</v>
      </c>
    </row>
    <row r="62" spans="1:5" x14ac:dyDescent="0.25">
      <c r="A62" s="160" t="s">
        <v>156</v>
      </c>
      <c r="B62" s="160" t="s">
        <v>157</v>
      </c>
      <c r="C62" s="159">
        <v>36574800.579999998</v>
      </c>
      <c r="D62" s="159">
        <v>2106081.13</v>
      </c>
      <c r="E62" s="159">
        <v>38680881.710000001</v>
      </c>
    </row>
    <row r="63" spans="1:5" x14ac:dyDescent="0.25">
      <c r="A63" s="160" t="s">
        <v>158</v>
      </c>
      <c r="B63" s="160" t="s">
        <v>159</v>
      </c>
      <c r="C63" s="159">
        <v>3214054.38</v>
      </c>
      <c r="D63" s="159">
        <v>126054.72</v>
      </c>
      <c r="E63" s="159">
        <v>3340109.1</v>
      </c>
    </row>
    <row r="64" spans="1:5" x14ac:dyDescent="0.25">
      <c r="A64" s="160" t="s">
        <v>160</v>
      </c>
      <c r="B64" s="160" t="s">
        <v>161</v>
      </c>
      <c r="C64" s="159">
        <v>1273754.8799999999</v>
      </c>
      <c r="D64" s="159">
        <v>45556.84</v>
      </c>
      <c r="E64" s="159">
        <v>1319311.72</v>
      </c>
    </row>
    <row r="65" spans="1:5" x14ac:dyDescent="0.25">
      <c r="A65" s="160" t="s">
        <v>162</v>
      </c>
      <c r="B65" s="160" t="s">
        <v>163</v>
      </c>
      <c r="C65" s="159">
        <v>2186057.52</v>
      </c>
      <c r="D65" s="159">
        <v>149259.57</v>
      </c>
      <c r="E65" s="159">
        <v>2335317.09</v>
      </c>
    </row>
    <row r="66" spans="1:5" s="150" customFormat="1" x14ac:dyDescent="0.25">
      <c r="A66" s="149" t="s">
        <v>164</v>
      </c>
      <c r="C66" s="151">
        <f>SUM(C62:C65)</f>
        <v>43248667.360000007</v>
      </c>
      <c r="D66" s="151">
        <f>SUM(D62:D65)</f>
        <v>2426952.2599999998</v>
      </c>
      <c r="E66" s="151">
        <f>SUM(E62:E65)</f>
        <v>45675619.620000005</v>
      </c>
    </row>
    <row r="68" spans="1:5" s="150" customFormat="1" x14ac:dyDescent="0.25">
      <c r="A68" s="149" t="s">
        <v>31</v>
      </c>
      <c r="C68" s="151">
        <f>C14+C20+C26+C32+C38+C44+C46+C54+C60+C66</f>
        <v>-39716332.957601078</v>
      </c>
      <c r="D68" s="151">
        <f>D14+D20+D26+D32+D38+D44+D46+D54+D60+D66</f>
        <v>50495613.620000057</v>
      </c>
      <c r="E68" s="151">
        <f>E14+E20+E26+E32+E38+E44+E46+E54+E60+E66</f>
        <v>10779280.662399352</v>
      </c>
    </row>
  </sheetData>
  <pageMargins left="0.75" right="0.75" top="0.75" bottom="0.75" header="0.5" footer="0.5"/>
  <pageSetup scale="68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9" activePane="bottomLeft" state="frozenSplit"/>
      <selection pane="bottomLeft" activeCell="E14" sqref="E14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186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187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188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1421038881.6300001</v>
      </c>
      <c r="D9" s="161">
        <v>181165987.53</v>
      </c>
      <c r="E9" s="161">
        <v>1602204869.1600001</v>
      </c>
    </row>
    <row r="10" spans="1:5" x14ac:dyDescent="0.25">
      <c r="A10" s="160" t="s">
        <v>94</v>
      </c>
      <c r="B10" s="160" t="s">
        <v>35</v>
      </c>
      <c r="C10" s="159">
        <v>2736837909.6199999</v>
      </c>
      <c r="D10" s="159">
        <v>363444705.12</v>
      </c>
      <c r="E10" s="159">
        <v>3100282614.7399998</v>
      </c>
    </row>
    <row r="11" spans="1:5" x14ac:dyDescent="0.25">
      <c r="A11" s="160" t="s">
        <v>95</v>
      </c>
      <c r="B11" s="160" t="s">
        <v>36</v>
      </c>
      <c r="C11" s="159">
        <v>520642813.62</v>
      </c>
      <c r="D11" s="159">
        <v>67787859.980000004</v>
      </c>
      <c r="E11" s="159">
        <v>588430673.60000002</v>
      </c>
    </row>
    <row r="12" spans="1:5" x14ac:dyDescent="0.25">
      <c r="A12" s="160" t="s">
        <v>96</v>
      </c>
      <c r="B12" s="160" t="s">
        <v>37</v>
      </c>
      <c r="C12" s="159">
        <v>114843151.37</v>
      </c>
      <c r="D12" s="159">
        <v>22782635.739999998</v>
      </c>
      <c r="E12" s="159">
        <v>137625787.11000001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4793362756.2399998</v>
      </c>
      <c r="D14" s="151">
        <f>SUM(D9:D13)</f>
        <v>635181188.37</v>
      </c>
      <c r="E14" s="151">
        <f>SUM(E9:E13)</f>
        <v>5428543944.6099997</v>
      </c>
    </row>
    <row r="16" spans="1:5" x14ac:dyDescent="0.25">
      <c r="A16" s="160" t="s">
        <v>99</v>
      </c>
      <c r="B16" s="160" t="s">
        <v>100</v>
      </c>
      <c r="C16" s="159">
        <v>549328.04</v>
      </c>
      <c r="D16" s="159">
        <v>114160.23</v>
      </c>
      <c r="E16" s="159">
        <v>663488.27</v>
      </c>
    </row>
    <row r="17" spans="1:5" x14ac:dyDescent="0.25">
      <c r="A17" s="160" t="s">
        <v>101</v>
      </c>
      <c r="B17" s="160" t="s">
        <v>102</v>
      </c>
      <c r="C17" s="159">
        <v>1065768.1399999999</v>
      </c>
      <c r="D17" s="159">
        <v>229029.06</v>
      </c>
      <c r="E17" s="159">
        <v>1294797.2</v>
      </c>
    </row>
    <row r="18" spans="1:5" x14ac:dyDescent="0.25">
      <c r="A18" s="160" t="s">
        <v>103</v>
      </c>
      <c r="B18" s="160" t="s">
        <v>104</v>
      </c>
      <c r="C18" s="159">
        <v>201273.93</v>
      </c>
      <c r="D18" s="159">
        <v>42751.22</v>
      </c>
      <c r="E18" s="159">
        <v>244025.15</v>
      </c>
    </row>
    <row r="19" spans="1:5" x14ac:dyDescent="0.25">
      <c r="A19" s="160" t="s">
        <v>105</v>
      </c>
      <c r="B19" s="160" t="s">
        <v>106</v>
      </c>
      <c r="C19" s="159">
        <v>42052.83</v>
      </c>
      <c r="D19" s="159">
        <v>14335.6</v>
      </c>
      <c r="E19" s="159">
        <v>56388.43</v>
      </c>
    </row>
    <row r="20" spans="1:5" s="150" customFormat="1" x14ac:dyDescent="0.25">
      <c r="A20" s="149" t="s">
        <v>107</v>
      </c>
      <c r="C20" s="151">
        <f>SUM(C16:C19)</f>
        <v>1858422.94</v>
      </c>
      <c r="D20" s="151">
        <f>SUM(D16:D19)</f>
        <v>400276.11</v>
      </c>
      <c r="E20" s="151">
        <f>SUM(E16:E19)</f>
        <v>2258699.0500000003</v>
      </c>
    </row>
    <row r="22" spans="1:5" x14ac:dyDescent="0.25">
      <c r="A22" s="160" t="s">
        <v>108</v>
      </c>
      <c r="B22" s="160" t="s">
        <v>109</v>
      </c>
      <c r="C22" s="159">
        <v>415822.63</v>
      </c>
      <c r="D22" s="159">
        <v>27424.11</v>
      </c>
      <c r="E22" s="159">
        <v>443246.74</v>
      </c>
    </row>
    <row r="23" spans="1:5" x14ac:dyDescent="0.25">
      <c r="A23" s="160" t="s">
        <v>110</v>
      </c>
      <c r="B23" s="160" t="s">
        <v>111</v>
      </c>
      <c r="C23" s="159">
        <v>809808.91</v>
      </c>
      <c r="D23" s="159">
        <v>55021.3</v>
      </c>
      <c r="E23" s="159">
        <v>864830.21</v>
      </c>
    </row>
    <row r="24" spans="1:5" x14ac:dyDescent="0.25">
      <c r="A24" s="160" t="s">
        <v>112</v>
      </c>
      <c r="B24" s="160" t="s">
        <v>113</v>
      </c>
      <c r="C24" s="159">
        <v>153721.24</v>
      </c>
      <c r="D24" s="159">
        <v>10259.99</v>
      </c>
      <c r="E24" s="159">
        <v>163981.23000000001</v>
      </c>
    </row>
    <row r="25" spans="1:5" x14ac:dyDescent="0.25">
      <c r="A25" s="160" t="s">
        <v>114</v>
      </c>
      <c r="B25" s="160" t="s">
        <v>115</v>
      </c>
      <c r="C25" s="159">
        <v>37953.402399999999</v>
      </c>
      <c r="D25" s="159">
        <v>3452.01</v>
      </c>
      <c r="E25" s="159">
        <v>41405.412400000001</v>
      </c>
    </row>
    <row r="26" spans="1:5" s="150" customFormat="1" x14ac:dyDescent="0.25">
      <c r="A26" s="149" t="s">
        <v>116</v>
      </c>
      <c r="C26" s="151">
        <f>SUM(C22:C25)</f>
        <v>1417306.1824</v>
      </c>
      <c r="D26" s="151">
        <f>SUM(D22:D25)</f>
        <v>96157.41</v>
      </c>
      <c r="E26" s="151">
        <f>SUM(E22:E25)</f>
        <v>1513463.5924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6596966.2599999998</v>
      </c>
      <c r="D34" s="159">
        <v>18214.310000000001</v>
      </c>
      <c r="E34" s="159">
        <v>6615180.5700000003</v>
      </c>
    </row>
    <row r="35" spans="1:5" x14ac:dyDescent="0.25">
      <c r="A35" s="160" t="s">
        <v>128</v>
      </c>
      <c r="B35" s="160" t="s">
        <v>129</v>
      </c>
      <c r="C35" s="159">
        <v>2512358.88</v>
      </c>
      <c r="D35" s="159">
        <v>476069.57</v>
      </c>
      <c r="E35" s="159">
        <v>2988428.45</v>
      </c>
    </row>
    <row r="36" spans="1:5" x14ac:dyDescent="0.25">
      <c r="A36" s="160" t="s">
        <v>130</v>
      </c>
      <c r="B36" s="160" t="s">
        <v>131</v>
      </c>
      <c r="C36" s="159">
        <v>430586.75</v>
      </c>
      <c r="D36" s="159">
        <v>94855.94</v>
      </c>
      <c r="E36" s="159">
        <v>525442.68999999994</v>
      </c>
    </row>
    <row r="37" spans="1:5" x14ac:dyDescent="0.25">
      <c r="A37" s="160" t="s">
        <v>132</v>
      </c>
      <c r="B37" s="160" t="s">
        <v>133</v>
      </c>
      <c r="C37" s="159">
        <v>117137.08</v>
      </c>
      <c r="D37" s="159">
        <v>29638.15</v>
      </c>
      <c r="E37" s="159">
        <v>146775.23000000001</v>
      </c>
    </row>
    <row r="38" spans="1:5" s="150" customFormat="1" x14ac:dyDescent="0.25">
      <c r="A38" s="149" t="s">
        <v>134</v>
      </c>
      <c r="C38" s="151">
        <f>SUM(C34:C37)</f>
        <v>9657048.9700000007</v>
      </c>
      <c r="D38" s="151">
        <f>SUM(D34:D37)</f>
        <v>618777.97000000009</v>
      </c>
      <c r="E38" s="151">
        <f>SUM(E34:E37)</f>
        <v>10275826.939999999</v>
      </c>
    </row>
    <row r="40" spans="1:5" x14ac:dyDescent="0.25">
      <c r="A40" s="160" t="s">
        <v>135</v>
      </c>
      <c r="B40" s="160" t="s">
        <v>136</v>
      </c>
      <c r="C40" s="159">
        <v>-1287285614.8699999</v>
      </c>
      <c r="D40" s="159">
        <v>-128671149.38</v>
      </c>
      <c r="E40" s="159">
        <v>-1415956764.25</v>
      </c>
    </row>
    <row r="41" spans="1:5" x14ac:dyDescent="0.25">
      <c r="A41" s="160" t="s">
        <v>137</v>
      </c>
      <c r="B41" s="160" t="s">
        <v>138</v>
      </c>
      <c r="C41" s="159">
        <v>-2883395906.73</v>
      </c>
      <c r="D41" s="159">
        <v>-339487834.27999997</v>
      </c>
      <c r="E41" s="159">
        <v>-3222883741.0100002</v>
      </c>
    </row>
    <row r="42" spans="1:5" x14ac:dyDescent="0.25">
      <c r="A42" s="160" t="s">
        <v>139</v>
      </c>
      <c r="B42" s="160" t="s">
        <v>140</v>
      </c>
      <c r="C42" s="159">
        <v>-568198786.5</v>
      </c>
      <c r="D42" s="159">
        <v>-82273392.430000007</v>
      </c>
      <c r="E42" s="159">
        <v>-650472178.92999995</v>
      </c>
    </row>
    <row r="43" spans="1:5" x14ac:dyDescent="0.25">
      <c r="A43" s="160" t="s">
        <v>141</v>
      </c>
      <c r="B43" s="160" t="s">
        <v>142</v>
      </c>
      <c r="C43" s="159">
        <v>-22205135.420000002</v>
      </c>
      <c r="D43" s="159">
        <v>-7594583.7400000002</v>
      </c>
      <c r="E43" s="159">
        <v>-29799719.16</v>
      </c>
    </row>
    <row r="44" spans="1:5" s="150" customFormat="1" x14ac:dyDescent="0.25">
      <c r="A44" s="149" t="s">
        <v>143</v>
      </c>
      <c r="C44" s="151">
        <f>SUM(C40:C43)</f>
        <v>-4761085443.5200005</v>
      </c>
      <c r="D44" s="151">
        <f>SUM(D40:D43)</f>
        <v>-558026959.82999992</v>
      </c>
      <c r="E44" s="151">
        <f>SUM(E40:E43)</f>
        <v>-5319112403.3500004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-86776950.670000002</v>
      </c>
      <c r="D56" s="159">
        <v>-19168935.77</v>
      </c>
      <c r="E56" s="159">
        <v>-105945886.44</v>
      </c>
    </row>
    <row r="57" spans="1:5" x14ac:dyDescent="0.25">
      <c r="A57" s="160" t="s">
        <v>152</v>
      </c>
      <c r="B57" s="160" t="s">
        <v>41</v>
      </c>
      <c r="C57" s="159">
        <v>-33689944.909999996</v>
      </c>
      <c r="D57" s="159">
        <v>-7409152</v>
      </c>
      <c r="E57" s="159">
        <v>-41099096.909999996</v>
      </c>
    </row>
    <row r="58" spans="1:5" x14ac:dyDescent="0.25">
      <c r="A58" s="160" t="s">
        <v>153</v>
      </c>
      <c r="B58" s="160" t="s">
        <v>42</v>
      </c>
      <c r="C58" s="159">
        <v>-2177073.11</v>
      </c>
      <c r="D58" s="159">
        <v>-380787.23</v>
      </c>
      <c r="E58" s="159">
        <v>-2557860.34</v>
      </c>
    </row>
    <row r="59" spans="1:5" x14ac:dyDescent="0.25">
      <c r="A59" s="160" t="s">
        <v>154</v>
      </c>
      <c r="B59" s="160" t="s">
        <v>43</v>
      </c>
      <c r="C59" s="159">
        <v>-5531122.4400000004</v>
      </c>
      <c r="D59" s="159">
        <v>-648022.44999999995</v>
      </c>
      <c r="E59" s="159">
        <v>-6179144.8899999997</v>
      </c>
    </row>
    <row r="60" spans="1:5" s="150" customFormat="1" x14ac:dyDescent="0.25">
      <c r="A60" s="149" t="s">
        <v>155</v>
      </c>
      <c r="C60" s="151">
        <f>SUM(C56:C59)</f>
        <v>-128175091.13</v>
      </c>
      <c r="D60" s="151">
        <f>SUM(D56:D59)</f>
        <v>-27606897.449999999</v>
      </c>
      <c r="E60" s="151">
        <f>SUM(E56:E59)</f>
        <v>-155781988.57999998</v>
      </c>
    </row>
    <row r="62" spans="1:5" x14ac:dyDescent="0.25">
      <c r="A62" s="160" t="s">
        <v>156</v>
      </c>
      <c r="B62" s="160" t="s">
        <v>157</v>
      </c>
      <c r="C62" s="159">
        <v>36574800.579999998</v>
      </c>
      <c r="D62" s="159">
        <v>2106081.13</v>
      </c>
      <c r="E62" s="159">
        <v>38680881.710000001</v>
      </c>
    </row>
    <row r="63" spans="1:5" x14ac:dyDescent="0.25">
      <c r="A63" s="160" t="s">
        <v>158</v>
      </c>
      <c r="B63" s="160" t="s">
        <v>159</v>
      </c>
      <c r="C63" s="159">
        <v>3214054.38</v>
      </c>
      <c r="D63" s="159">
        <v>126054.72</v>
      </c>
      <c r="E63" s="159">
        <v>3340109.1</v>
      </c>
    </row>
    <row r="64" spans="1:5" x14ac:dyDescent="0.25">
      <c r="A64" s="160" t="s">
        <v>160</v>
      </c>
      <c r="B64" s="160" t="s">
        <v>161</v>
      </c>
      <c r="C64" s="159">
        <v>1273754.8799999999</v>
      </c>
      <c r="D64" s="159">
        <v>45556.84</v>
      </c>
      <c r="E64" s="159">
        <v>1319311.72</v>
      </c>
    </row>
    <row r="65" spans="1:5" x14ac:dyDescent="0.25">
      <c r="A65" s="160" t="s">
        <v>162</v>
      </c>
      <c r="B65" s="160" t="s">
        <v>163</v>
      </c>
      <c r="C65" s="159">
        <v>2186057.52</v>
      </c>
      <c r="D65" s="159">
        <v>149259.57</v>
      </c>
      <c r="E65" s="159">
        <v>2335317.09</v>
      </c>
    </row>
    <row r="66" spans="1:5" s="150" customFormat="1" x14ac:dyDescent="0.25">
      <c r="A66" s="149" t="s">
        <v>164</v>
      </c>
      <c r="C66" s="151">
        <f>SUM(C62:C65)</f>
        <v>43248667.360000007</v>
      </c>
      <c r="D66" s="151">
        <f>SUM(D62:D65)</f>
        <v>2426952.2599999998</v>
      </c>
      <c r="E66" s="151">
        <f>SUM(E62:E65)</f>
        <v>45675619.620000005</v>
      </c>
    </row>
    <row r="68" spans="1:5" s="150" customFormat="1" x14ac:dyDescent="0.25">
      <c r="A68" s="149" t="s">
        <v>31</v>
      </c>
      <c r="C68" s="151">
        <f>C14+C20+C26+C32+C38+C44+C46+C54+C60+C66</f>
        <v>-39716332.957601078</v>
      </c>
      <c r="D68" s="151">
        <f>D14+D20+D26+D32+D38+D44+D46+D54+D60+D66</f>
        <v>53089494.840000086</v>
      </c>
      <c r="E68" s="151">
        <f>E14+E20+E26+E32+E38+E44+E46+E54+E60+E66</f>
        <v>13373161.882398665</v>
      </c>
    </row>
  </sheetData>
  <pageMargins left="0.75" right="0.75" top="0.75" bottom="0.75" header="0.5" footer="0.5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E68" sqref="E68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183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184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185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1243250739.5699999</v>
      </c>
      <c r="D9" s="161">
        <v>177788142.06</v>
      </c>
      <c r="E9" s="161">
        <v>1421038881.6300001</v>
      </c>
    </row>
    <row r="10" spans="1:5" x14ac:dyDescent="0.25">
      <c r="A10" s="160" t="s">
        <v>94</v>
      </c>
      <c r="B10" s="160" t="s">
        <v>35</v>
      </c>
      <c r="C10" s="159">
        <v>2379525704.7600002</v>
      </c>
      <c r="D10" s="159">
        <v>357312204.86000001</v>
      </c>
      <c r="E10" s="159">
        <v>2736837909.6199999</v>
      </c>
    </row>
    <row r="11" spans="1:5" x14ac:dyDescent="0.25">
      <c r="A11" s="160" t="s">
        <v>95</v>
      </c>
      <c r="B11" s="160" t="s">
        <v>36</v>
      </c>
      <c r="C11" s="159">
        <v>454053535.12</v>
      </c>
      <c r="D11" s="159">
        <v>66589278.5</v>
      </c>
      <c r="E11" s="159">
        <v>520642813.62</v>
      </c>
    </row>
    <row r="12" spans="1:5" x14ac:dyDescent="0.25">
      <c r="A12" s="160" t="s">
        <v>96</v>
      </c>
      <c r="B12" s="160" t="s">
        <v>37</v>
      </c>
      <c r="C12" s="159">
        <v>92380359.109999999</v>
      </c>
      <c r="D12" s="159">
        <v>22462792.260000002</v>
      </c>
      <c r="E12" s="159">
        <v>114843151.37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4169210338.5599999</v>
      </c>
      <c r="D14" s="151">
        <f>SUM(D9:D13)</f>
        <v>624152417.68000007</v>
      </c>
      <c r="E14" s="151">
        <f>SUM(E9:E13)</f>
        <v>4793362756.2399998</v>
      </c>
    </row>
    <row r="16" spans="1:5" x14ac:dyDescent="0.25">
      <c r="A16" s="160" t="s">
        <v>99</v>
      </c>
      <c r="B16" s="160" t="s">
        <v>100</v>
      </c>
      <c r="C16" s="159">
        <v>732874.54</v>
      </c>
      <c r="D16" s="159">
        <v>-183546.5</v>
      </c>
      <c r="E16" s="159">
        <v>549328.04</v>
      </c>
    </row>
    <row r="17" spans="1:5" x14ac:dyDescent="0.25">
      <c r="A17" s="160" t="s">
        <v>101</v>
      </c>
      <c r="B17" s="160" t="s">
        <v>102</v>
      </c>
      <c r="C17" s="159">
        <v>1433874.69</v>
      </c>
      <c r="D17" s="159">
        <v>-368106.55</v>
      </c>
      <c r="E17" s="159">
        <v>1065768.1399999999</v>
      </c>
    </row>
    <row r="18" spans="1:5" x14ac:dyDescent="0.25">
      <c r="A18" s="160" t="s">
        <v>103</v>
      </c>
      <c r="B18" s="160" t="s">
        <v>104</v>
      </c>
      <c r="C18" s="159">
        <v>269921.03000000003</v>
      </c>
      <c r="D18" s="159">
        <v>-68647.100000000006</v>
      </c>
      <c r="E18" s="159">
        <v>201273.93</v>
      </c>
    </row>
    <row r="19" spans="1:5" x14ac:dyDescent="0.25">
      <c r="A19" s="160" t="s">
        <v>105</v>
      </c>
      <c r="B19" s="160" t="s">
        <v>106</v>
      </c>
      <c r="C19" s="159">
        <v>65151.38</v>
      </c>
      <c r="D19" s="159">
        <v>-23098.55</v>
      </c>
      <c r="E19" s="159">
        <v>42052.83</v>
      </c>
    </row>
    <row r="20" spans="1:5" s="150" customFormat="1" x14ac:dyDescent="0.25">
      <c r="A20" s="149" t="s">
        <v>107</v>
      </c>
      <c r="C20" s="151">
        <f>SUM(C16:C19)</f>
        <v>2501821.6399999997</v>
      </c>
      <c r="D20" s="151">
        <f>SUM(D16:D19)</f>
        <v>-643398.70000000007</v>
      </c>
      <c r="E20" s="151">
        <f>SUM(E16:E19)</f>
        <v>1858422.94</v>
      </c>
    </row>
    <row r="22" spans="1:5" x14ac:dyDescent="0.25">
      <c r="A22" s="160" t="s">
        <v>108</v>
      </c>
      <c r="B22" s="160" t="s">
        <v>109</v>
      </c>
      <c r="C22" s="159">
        <v>383631.3</v>
      </c>
      <c r="D22" s="159">
        <v>32191.33</v>
      </c>
      <c r="E22" s="159">
        <v>415822.63</v>
      </c>
    </row>
    <row r="23" spans="1:5" x14ac:dyDescent="0.25">
      <c r="A23" s="160" t="s">
        <v>110</v>
      </c>
      <c r="B23" s="160" t="s">
        <v>111</v>
      </c>
      <c r="C23" s="159">
        <v>745223.07</v>
      </c>
      <c r="D23" s="159">
        <v>64585.84</v>
      </c>
      <c r="E23" s="159">
        <v>809808.91</v>
      </c>
    </row>
    <row r="24" spans="1:5" x14ac:dyDescent="0.25">
      <c r="A24" s="160" t="s">
        <v>112</v>
      </c>
      <c r="B24" s="160" t="s">
        <v>113</v>
      </c>
      <c r="C24" s="159">
        <v>141677.71</v>
      </c>
      <c r="D24" s="159">
        <v>12043.53</v>
      </c>
      <c r="E24" s="159">
        <v>153721.24</v>
      </c>
    </row>
    <row r="25" spans="1:5" x14ac:dyDescent="0.25">
      <c r="A25" s="160" t="s">
        <v>114</v>
      </c>
      <c r="B25" s="160" t="s">
        <v>115</v>
      </c>
      <c r="C25" s="159">
        <v>33901.202400000002</v>
      </c>
      <c r="D25" s="159">
        <v>4052.2</v>
      </c>
      <c r="E25" s="159">
        <v>37953.402399999999</v>
      </c>
    </row>
    <row r="26" spans="1:5" s="150" customFormat="1" x14ac:dyDescent="0.25">
      <c r="A26" s="149" t="s">
        <v>116</v>
      </c>
      <c r="C26" s="151">
        <f>SUM(C22:C25)</f>
        <v>1304433.2823999999</v>
      </c>
      <c r="D26" s="151">
        <f>SUM(D22:D25)</f>
        <v>112872.9</v>
      </c>
      <c r="E26" s="151">
        <f>SUM(E22:E25)</f>
        <v>1417306.1824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-3852142.17</v>
      </c>
      <c r="D34" s="159">
        <v>10449108.43</v>
      </c>
      <c r="E34" s="159">
        <v>6596966.2599999998</v>
      </c>
    </row>
    <row r="35" spans="1:5" x14ac:dyDescent="0.25">
      <c r="A35" s="160" t="s">
        <v>128</v>
      </c>
      <c r="B35" s="160" t="s">
        <v>129</v>
      </c>
      <c r="C35" s="159">
        <v>2353240.42</v>
      </c>
      <c r="D35" s="159">
        <v>159118.46</v>
      </c>
      <c r="E35" s="159">
        <v>2512358.88</v>
      </c>
    </row>
    <row r="36" spans="1:5" x14ac:dyDescent="0.25">
      <c r="A36" s="160" t="s">
        <v>130</v>
      </c>
      <c r="B36" s="160" t="s">
        <v>131</v>
      </c>
      <c r="C36" s="159">
        <v>399871.15</v>
      </c>
      <c r="D36" s="159">
        <v>30715.599999999999</v>
      </c>
      <c r="E36" s="159">
        <v>430586.75</v>
      </c>
    </row>
    <row r="37" spans="1:5" x14ac:dyDescent="0.25">
      <c r="A37" s="160" t="s">
        <v>132</v>
      </c>
      <c r="B37" s="160" t="s">
        <v>133</v>
      </c>
      <c r="C37" s="159">
        <v>106816.05</v>
      </c>
      <c r="D37" s="159">
        <v>10321.030000000001</v>
      </c>
      <c r="E37" s="159">
        <v>117137.08</v>
      </c>
    </row>
    <row r="38" spans="1:5" s="150" customFormat="1" x14ac:dyDescent="0.25">
      <c r="A38" s="149" t="s">
        <v>134</v>
      </c>
      <c r="C38" s="151">
        <f>SUM(C34:C37)</f>
        <v>-992214.55</v>
      </c>
      <c r="D38" s="151">
        <f>SUM(D34:D37)</f>
        <v>10649263.52</v>
      </c>
      <c r="E38" s="151">
        <f>SUM(E34:E37)</f>
        <v>9657048.9700000007</v>
      </c>
    </row>
    <row r="40" spans="1:5" x14ac:dyDescent="0.25">
      <c r="A40" s="160" t="s">
        <v>135</v>
      </c>
      <c r="B40" s="160" t="s">
        <v>136</v>
      </c>
      <c r="C40" s="159">
        <v>-1139410940.6800001</v>
      </c>
      <c r="D40" s="159">
        <v>-147874674.19</v>
      </c>
      <c r="E40" s="159">
        <v>-1287285614.8699999</v>
      </c>
    </row>
    <row r="41" spans="1:5" x14ac:dyDescent="0.25">
      <c r="A41" s="160" t="s">
        <v>137</v>
      </c>
      <c r="B41" s="160" t="s">
        <v>138</v>
      </c>
      <c r="C41" s="159">
        <v>-2601781948.73</v>
      </c>
      <c r="D41" s="159">
        <v>-281613958</v>
      </c>
      <c r="E41" s="159">
        <v>-2883395906.73</v>
      </c>
    </row>
    <row r="42" spans="1:5" x14ac:dyDescent="0.25">
      <c r="A42" s="160" t="s">
        <v>139</v>
      </c>
      <c r="B42" s="160" t="s">
        <v>140</v>
      </c>
      <c r="C42" s="159">
        <v>-491199007.5</v>
      </c>
      <c r="D42" s="159">
        <v>-76999779</v>
      </c>
      <c r="E42" s="159">
        <v>-568198786.5</v>
      </c>
    </row>
    <row r="43" spans="1:5" x14ac:dyDescent="0.25">
      <c r="A43" s="160" t="s">
        <v>141</v>
      </c>
      <c r="B43" s="160" t="s">
        <v>142</v>
      </c>
      <c r="C43" s="159">
        <v>-19909424.710000001</v>
      </c>
      <c r="D43" s="159">
        <v>-2295710.71</v>
      </c>
      <c r="E43" s="159">
        <v>-22205135.420000002</v>
      </c>
    </row>
    <row r="44" spans="1:5" s="150" customFormat="1" x14ac:dyDescent="0.25">
      <c r="A44" s="149" t="s">
        <v>143</v>
      </c>
      <c r="C44" s="151">
        <f>SUM(C40:C43)</f>
        <v>-4252301321.6199999</v>
      </c>
      <c r="D44" s="151">
        <f>SUM(D40:D43)</f>
        <v>-508784121.89999998</v>
      </c>
      <c r="E44" s="151">
        <f>SUM(E40:E43)</f>
        <v>-4761085443.5200005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-50732104.920000002</v>
      </c>
      <c r="D56" s="159">
        <v>-36044845.75</v>
      </c>
      <c r="E56" s="159">
        <v>-86776950.670000002</v>
      </c>
    </row>
    <row r="57" spans="1:5" x14ac:dyDescent="0.25">
      <c r="A57" s="160" t="s">
        <v>152</v>
      </c>
      <c r="B57" s="160" t="s">
        <v>41</v>
      </c>
      <c r="C57" s="159">
        <v>-23060694.600000001</v>
      </c>
      <c r="D57" s="159">
        <v>-10629250.310000001</v>
      </c>
      <c r="E57" s="159">
        <v>-33689944.909999996</v>
      </c>
    </row>
    <row r="58" spans="1:5" x14ac:dyDescent="0.25">
      <c r="A58" s="160" t="s">
        <v>153</v>
      </c>
      <c r="B58" s="160" t="s">
        <v>42</v>
      </c>
      <c r="C58" s="159">
        <v>-1701044.47</v>
      </c>
      <c r="D58" s="159">
        <v>-476028.64</v>
      </c>
      <c r="E58" s="159">
        <v>-2177073.11</v>
      </c>
    </row>
    <row r="59" spans="1:5" x14ac:dyDescent="0.25">
      <c r="A59" s="160" t="s">
        <v>154</v>
      </c>
      <c r="B59" s="160" t="s">
        <v>43</v>
      </c>
      <c r="C59" s="159">
        <v>-4699324.42</v>
      </c>
      <c r="D59" s="159">
        <v>-831798.02</v>
      </c>
      <c r="E59" s="159">
        <v>-5531122.4400000004</v>
      </c>
    </row>
    <row r="60" spans="1:5" s="150" customFormat="1" x14ac:dyDescent="0.25">
      <c r="A60" s="149" t="s">
        <v>155</v>
      </c>
      <c r="C60" s="151">
        <f>SUM(C56:C59)</f>
        <v>-80193168.410000011</v>
      </c>
      <c r="D60" s="151">
        <f>SUM(D56:D59)</f>
        <v>-47981922.720000006</v>
      </c>
      <c r="E60" s="151">
        <f>SUM(E56:E59)</f>
        <v>-128175091.13</v>
      </c>
    </row>
    <row r="62" spans="1:5" x14ac:dyDescent="0.25">
      <c r="A62" s="160" t="s">
        <v>156</v>
      </c>
      <c r="B62" s="160" t="s">
        <v>157</v>
      </c>
      <c r="C62" s="159">
        <v>34193262.979999997</v>
      </c>
      <c r="D62" s="159">
        <v>2381537.6</v>
      </c>
      <c r="E62" s="159">
        <v>36574800.579999998</v>
      </c>
    </row>
    <row r="63" spans="1:5" x14ac:dyDescent="0.25">
      <c r="A63" s="160" t="s">
        <v>158</v>
      </c>
      <c r="B63" s="160" t="s">
        <v>159</v>
      </c>
      <c r="C63" s="159">
        <v>3070902.78</v>
      </c>
      <c r="D63" s="159">
        <v>143151.6</v>
      </c>
      <c r="E63" s="159">
        <v>3214054.38</v>
      </c>
    </row>
    <row r="64" spans="1:5" x14ac:dyDescent="0.25">
      <c r="A64" s="160" t="s">
        <v>160</v>
      </c>
      <c r="B64" s="160" t="s">
        <v>161</v>
      </c>
      <c r="C64" s="159">
        <v>1210003.25</v>
      </c>
      <c r="D64" s="159">
        <v>63751.63</v>
      </c>
      <c r="E64" s="159">
        <v>1273754.8799999999</v>
      </c>
    </row>
    <row r="65" spans="1:5" x14ac:dyDescent="0.25">
      <c r="A65" s="160" t="s">
        <v>162</v>
      </c>
      <c r="B65" s="160" t="s">
        <v>163</v>
      </c>
      <c r="C65" s="159">
        <v>2025598.52</v>
      </c>
      <c r="D65" s="159">
        <v>160459</v>
      </c>
      <c r="E65" s="159">
        <v>2186057.52</v>
      </c>
    </row>
    <row r="66" spans="1:5" s="150" customFormat="1" x14ac:dyDescent="0.25">
      <c r="A66" s="149" t="s">
        <v>164</v>
      </c>
      <c r="C66" s="151">
        <f>SUM(C62:C65)</f>
        <v>40499767.530000001</v>
      </c>
      <c r="D66" s="151">
        <f>SUM(D62:D65)</f>
        <v>2748899.83</v>
      </c>
      <c r="E66" s="151">
        <f>SUM(E62:E65)</f>
        <v>43248667.360000007</v>
      </c>
    </row>
    <row r="68" spans="1:5" s="150" customFormat="1" x14ac:dyDescent="0.25">
      <c r="A68" s="149" t="s">
        <v>31</v>
      </c>
      <c r="C68" s="151">
        <f>C14+C20+C26+C32+C38+C44+C46+C54+C60+C66</f>
        <v>-119970343.56760016</v>
      </c>
      <c r="D68" s="151">
        <f>D14+D20+D26+D32+D38+D44+D46+D54+D60+D66</f>
        <v>80254010.609999999</v>
      </c>
      <c r="E68" s="151">
        <f>E14+E20+E26+E32+E38+E44+E46+E54+E60+E66</f>
        <v>-39716332.957601078</v>
      </c>
    </row>
  </sheetData>
  <pageMargins left="0.75" right="0.75" top="0.75" bottom="0.75" header="0.5" footer="0.5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68" sqref="D68:E68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180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181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182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1063251158.86</v>
      </c>
      <c r="D9" s="161">
        <v>179999580.71000001</v>
      </c>
      <c r="E9" s="161">
        <v>1243250739.5699999</v>
      </c>
    </row>
    <row r="10" spans="1:5" x14ac:dyDescent="0.25">
      <c r="A10" s="160" t="s">
        <v>94</v>
      </c>
      <c r="B10" s="160" t="s">
        <v>35</v>
      </c>
      <c r="C10" s="159">
        <v>2018354346.95</v>
      </c>
      <c r="D10" s="159">
        <v>361171357.81</v>
      </c>
      <c r="E10" s="159">
        <v>2379525704.7600002</v>
      </c>
    </row>
    <row r="11" spans="1:5" x14ac:dyDescent="0.25">
      <c r="A11" s="160" t="s">
        <v>95</v>
      </c>
      <c r="B11" s="160" t="s">
        <v>36</v>
      </c>
      <c r="C11" s="159">
        <v>386710507.48000002</v>
      </c>
      <c r="D11" s="159">
        <v>67343027.640000001</v>
      </c>
      <c r="E11" s="159">
        <v>454053535.12</v>
      </c>
    </row>
    <row r="12" spans="1:5" x14ac:dyDescent="0.25">
      <c r="A12" s="160" t="s">
        <v>96</v>
      </c>
      <c r="B12" s="160" t="s">
        <v>37</v>
      </c>
      <c r="C12" s="159">
        <v>69722785.640000001</v>
      </c>
      <c r="D12" s="159">
        <v>22657573.469999999</v>
      </c>
      <c r="E12" s="159">
        <v>92380359.109999999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3538038798.9299998</v>
      </c>
      <c r="D14" s="151">
        <f>SUM(D9:D13)</f>
        <v>631171539.63</v>
      </c>
      <c r="E14" s="151">
        <f>SUM(E9:E13)</f>
        <v>4169210338.5599999</v>
      </c>
    </row>
    <row r="16" spans="1:5" x14ac:dyDescent="0.25">
      <c r="A16" s="160" t="s">
        <v>99</v>
      </c>
      <c r="B16" s="160" t="s">
        <v>100</v>
      </c>
      <c r="C16" s="159">
        <v>636083.82999999996</v>
      </c>
      <c r="D16" s="159">
        <v>96790.71</v>
      </c>
      <c r="E16" s="159">
        <v>732874.54</v>
      </c>
    </row>
    <row r="17" spans="1:5" x14ac:dyDescent="0.25">
      <c r="A17" s="160" t="s">
        <v>101</v>
      </c>
      <c r="B17" s="160" t="s">
        <v>102</v>
      </c>
      <c r="C17" s="159">
        <v>1240786.22</v>
      </c>
      <c r="D17" s="159">
        <v>193088.47</v>
      </c>
      <c r="E17" s="159">
        <v>1433874.69</v>
      </c>
    </row>
    <row r="18" spans="1:5" x14ac:dyDescent="0.25">
      <c r="A18" s="160" t="s">
        <v>103</v>
      </c>
      <c r="B18" s="160" t="s">
        <v>104</v>
      </c>
      <c r="C18" s="159">
        <v>233668.17</v>
      </c>
      <c r="D18" s="159">
        <v>36252.86</v>
      </c>
      <c r="E18" s="159">
        <v>269921.03000000003</v>
      </c>
    </row>
    <row r="19" spans="1:5" x14ac:dyDescent="0.25">
      <c r="A19" s="160" t="s">
        <v>105</v>
      </c>
      <c r="B19" s="160" t="s">
        <v>106</v>
      </c>
      <c r="C19" s="159">
        <v>53348.75</v>
      </c>
      <c r="D19" s="159">
        <v>11802.63</v>
      </c>
      <c r="E19" s="159">
        <v>65151.38</v>
      </c>
    </row>
    <row r="20" spans="1:5" s="150" customFormat="1" x14ac:dyDescent="0.25">
      <c r="A20" s="149" t="s">
        <v>107</v>
      </c>
      <c r="C20" s="151">
        <f>SUM(C16:C19)</f>
        <v>2163886.9699999997</v>
      </c>
      <c r="D20" s="151">
        <f>SUM(D16:D19)</f>
        <v>337934.67</v>
      </c>
      <c r="E20" s="151">
        <f>SUM(E16:E19)</f>
        <v>2501821.6399999997</v>
      </c>
    </row>
    <row r="22" spans="1:5" x14ac:dyDescent="0.25">
      <c r="A22" s="160" t="s">
        <v>108</v>
      </c>
      <c r="B22" s="160" t="s">
        <v>109</v>
      </c>
      <c r="C22" s="159">
        <v>320998.96000000002</v>
      </c>
      <c r="D22" s="159">
        <v>62632.34</v>
      </c>
      <c r="E22" s="159">
        <v>383631.3</v>
      </c>
    </row>
    <row r="23" spans="1:5" x14ac:dyDescent="0.25">
      <c r="A23" s="160" t="s">
        <v>110</v>
      </c>
      <c r="B23" s="160" t="s">
        <v>111</v>
      </c>
      <c r="C23" s="159">
        <v>619563.1</v>
      </c>
      <c r="D23" s="159">
        <v>125659.97</v>
      </c>
      <c r="E23" s="159">
        <v>745223.07</v>
      </c>
    </row>
    <row r="24" spans="1:5" x14ac:dyDescent="0.25">
      <c r="A24" s="160" t="s">
        <v>112</v>
      </c>
      <c r="B24" s="160" t="s">
        <v>113</v>
      </c>
      <c r="C24" s="159">
        <v>118245.5</v>
      </c>
      <c r="D24" s="159">
        <v>23432.21</v>
      </c>
      <c r="E24" s="159">
        <v>141677.71</v>
      </c>
    </row>
    <row r="25" spans="1:5" x14ac:dyDescent="0.25">
      <c r="A25" s="160" t="s">
        <v>114</v>
      </c>
      <c r="B25" s="160" t="s">
        <v>115</v>
      </c>
      <c r="C25" s="159">
        <v>26017.2824</v>
      </c>
      <c r="D25" s="159">
        <v>7883.92</v>
      </c>
      <c r="E25" s="159">
        <v>33901.202400000002</v>
      </c>
    </row>
    <row r="26" spans="1:5" s="150" customFormat="1" x14ac:dyDescent="0.25">
      <c r="A26" s="149" t="s">
        <v>116</v>
      </c>
      <c r="C26" s="151">
        <f>SUM(C22:C25)</f>
        <v>1084824.8424</v>
      </c>
      <c r="D26" s="151">
        <f>SUM(D22:D25)</f>
        <v>219608.44</v>
      </c>
      <c r="E26" s="151">
        <f>SUM(E22:E25)</f>
        <v>1304433.2823999999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-3869715.04</v>
      </c>
      <c r="D34" s="159">
        <v>17572.87</v>
      </c>
      <c r="E34" s="159">
        <v>-3852142.17</v>
      </c>
    </row>
    <row r="35" spans="1:5" x14ac:dyDescent="0.25">
      <c r="A35" s="160" t="s">
        <v>128</v>
      </c>
      <c r="B35" s="160" t="s">
        <v>129</v>
      </c>
      <c r="C35" s="159">
        <v>2337197.16</v>
      </c>
      <c r="D35" s="159">
        <v>16043.26</v>
      </c>
      <c r="E35" s="159">
        <v>2353240.42</v>
      </c>
    </row>
    <row r="36" spans="1:5" x14ac:dyDescent="0.25">
      <c r="A36" s="160" t="s">
        <v>130</v>
      </c>
      <c r="B36" s="160" t="s">
        <v>131</v>
      </c>
      <c r="C36" s="159">
        <v>390058.36</v>
      </c>
      <c r="D36" s="159">
        <v>9812.7900000000009</v>
      </c>
      <c r="E36" s="159">
        <v>399871.15</v>
      </c>
    </row>
    <row r="37" spans="1:5" x14ac:dyDescent="0.25">
      <c r="A37" s="160" t="s">
        <v>132</v>
      </c>
      <c r="B37" s="160" t="s">
        <v>133</v>
      </c>
      <c r="C37" s="159">
        <v>114554.19</v>
      </c>
      <c r="D37" s="159">
        <v>-7738.14</v>
      </c>
      <c r="E37" s="159">
        <v>106816.05</v>
      </c>
    </row>
    <row r="38" spans="1:5" s="150" customFormat="1" x14ac:dyDescent="0.25">
      <c r="A38" s="149" t="s">
        <v>134</v>
      </c>
      <c r="C38" s="151">
        <f>SUM(C34:C37)</f>
        <v>-1027905.3300000001</v>
      </c>
      <c r="D38" s="151">
        <f>SUM(D34:D37)</f>
        <v>35690.78</v>
      </c>
      <c r="E38" s="151">
        <f>SUM(E34:E37)</f>
        <v>-992214.55</v>
      </c>
    </row>
    <row r="40" spans="1:5" x14ac:dyDescent="0.25">
      <c r="A40" s="160" t="s">
        <v>135</v>
      </c>
      <c r="B40" s="160" t="s">
        <v>136</v>
      </c>
      <c r="C40" s="159">
        <v>-971940605.03999996</v>
      </c>
      <c r="D40" s="159">
        <v>-167470335.63999999</v>
      </c>
      <c r="E40" s="159">
        <v>-1139410940.6800001</v>
      </c>
    </row>
    <row r="41" spans="1:5" x14ac:dyDescent="0.25">
      <c r="A41" s="160" t="s">
        <v>137</v>
      </c>
      <c r="B41" s="160" t="s">
        <v>138</v>
      </c>
      <c r="C41" s="159">
        <v>-2259672139.5</v>
      </c>
      <c r="D41" s="159">
        <v>-342109809.23000002</v>
      </c>
      <c r="E41" s="159">
        <v>-2601781948.73</v>
      </c>
    </row>
    <row r="42" spans="1:5" x14ac:dyDescent="0.25">
      <c r="A42" s="160" t="s">
        <v>139</v>
      </c>
      <c r="B42" s="160" t="s">
        <v>140</v>
      </c>
      <c r="C42" s="159">
        <v>-417353341.49000001</v>
      </c>
      <c r="D42" s="159">
        <v>-73845666.010000005</v>
      </c>
      <c r="E42" s="159">
        <v>-491199007.5</v>
      </c>
    </row>
    <row r="43" spans="1:5" x14ac:dyDescent="0.25">
      <c r="A43" s="160" t="s">
        <v>141</v>
      </c>
      <c r="B43" s="160" t="s">
        <v>142</v>
      </c>
      <c r="C43" s="159">
        <v>-16849181.68</v>
      </c>
      <c r="D43" s="159">
        <v>-3060243.03</v>
      </c>
      <c r="E43" s="159">
        <v>-19909424.710000001</v>
      </c>
    </row>
    <row r="44" spans="1:5" s="150" customFormat="1" x14ac:dyDescent="0.25">
      <c r="A44" s="149" t="s">
        <v>143</v>
      </c>
      <c r="C44" s="151">
        <f>SUM(C40:C43)</f>
        <v>-3665815267.7099996</v>
      </c>
      <c r="D44" s="151">
        <f>SUM(D40:D43)</f>
        <v>-586486053.90999997</v>
      </c>
      <c r="E44" s="151">
        <f>SUM(E40:E43)</f>
        <v>-4252301321.6199999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-47643439.350000001</v>
      </c>
      <c r="D56" s="159">
        <v>-3088665.57</v>
      </c>
      <c r="E56" s="159">
        <v>-50732104.920000002</v>
      </c>
    </row>
    <row r="57" spans="1:5" x14ac:dyDescent="0.25">
      <c r="A57" s="160" t="s">
        <v>152</v>
      </c>
      <c r="B57" s="160" t="s">
        <v>41</v>
      </c>
      <c r="C57" s="159">
        <v>-18076085.920000002</v>
      </c>
      <c r="D57" s="159">
        <v>-4984608.68</v>
      </c>
      <c r="E57" s="159">
        <v>-23060694.600000001</v>
      </c>
    </row>
    <row r="58" spans="1:5" x14ac:dyDescent="0.25">
      <c r="A58" s="160" t="s">
        <v>153</v>
      </c>
      <c r="B58" s="160" t="s">
        <v>42</v>
      </c>
      <c r="C58" s="159">
        <v>-1309694.6499999999</v>
      </c>
      <c r="D58" s="159">
        <v>-391349.82</v>
      </c>
      <c r="E58" s="159">
        <v>-1701044.47</v>
      </c>
    </row>
    <row r="59" spans="1:5" x14ac:dyDescent="0.25">
      <c r="A59" s="160" t="s">
        <v>154</v>
      </c>
      <c r="B59" s="160" t="s">
        <v>43</v>
      </c>
      <c r="C59" s="159">
        <v>-4170997.54</v>
      </c>
      <c r="D59" s="159">
        <v>-528326.88</v>
      </c>
      <c r="E59" s="159">
        <v>-4699324.42</v>
      </c>
    </row>
    <row r="60" spans="1:5" s="150" customFormat="1" x14ac:dyDescent="0.25">
      <c r="A60" s="149" t="s">
        <v>155</v>
      </c>
      <c r="C60" s="151">
        <f>SUM(C56:C59)</f>
        <v>-71200217.460000008</v>
      </c>
      <c r="D60" s="151">
        <f>SUM(D56:D59)</f>
        <v>-8992950.9500000011</v>
      </c>
      <c r="E60" s="151">
        <f>SUM(E56:E59)</f>
        <v>-80193168.410000011</v>
      </c>
    </row>
    <row r="62" spans="1:5" x14ac:dyDescent="0.25">
      <c r="A62" s="160" t="s">
        <v>156</v>
      </c>
      <c r="B62" s="160" t="s">
        <v>157</v>
      </c>
      <c r="C62" s="159">
        <v>31520976.190000001</v>
      </c>
      <c r="D62" s="159">
        <v>2672286.79</v>
      </c>
      <c r="E62" s="159">
        <v>34193262.979999997</v>
      </c>
    </row>
    <row r="63" spans="1:5" x14ac:dyDescent="0.25">
      <c r="A63" s="160" t="s">
        <v>158</v>
      </c>
      <c r="B63" s="160" t="s">
        <v>159</v>
      </c>
      <c r="C63" s="159">
        <v>2923516.73</v>
      </c>
      <c r="D63" s="159">
        <v>147386.04999999999</v>
      </c>
      <c r="E63" s="159">
        <v>3070902.78</v>
      </c>
    </row>
    <row r="64" spans="1:5" x14ac:dyDescent="0.25">
      <c r="A64" s="160" t="s">
        <v>160</v>
      </c>
      <c r="B64" s="160" t="s">
        <v>161</v>
      </c>
      <c r="C64" s="159">
        <v>1131016.81</v>
      </c>
      <c r="D64" s="159">
        <v>78986.44</v>
      </c>
      <c r="E64" s="159">
        <v>1210003.25</v>
      </c>
    </row>
    <row r="65" spans="1:5" x14ac:dyDescent="0.25">
      <c r="A65" s="160" t="s">
        <v>162</v>
      </c>
      <c r="B65" s="160" t="s">
        <v>163</v>
      </c>
      <c r="C65" s="159">
        <v>1850689.55</v>
      </c>
      <c r="D65" s="159">
        <v>174908.97</v>
      </c>
      <c r="E65" s="159">
        <v>2025598.52</v>
      </c>
    </row>
    <row r="66" spans="1:5" s="150" customFormat="1" x14ac:dyDescent="0.25">
      <c r="A66" s="149" t="s">
        <v>164</v>
      </c>
      <c r="C66" s="151">
        <f>SUM(C62:C65)</f>
        <v>37426199.280000001</v>
      </c>
      <c r="D66" s="151">
        <f>SUM(D62:D65)</f>
        <v>3073568.25</v>
      </c>
      <c r="E66" s="151">
        <f>SUM(E62:E65)</f>
        <v>40499767.530000001</v>
      </c>
    </row>
    <row r="68" spans="1:5" s="150" customFormat="1" x14ac:dyDescent="0.25">
      <c r="A68" s="149" t="s">
        <v>31</v>
      </c>
      <c r="C68" s="151">
        <f>C14+C20+C26+C32+C38+C44+C46+C54+C60+C66</f>
        <v>-159329680.4775998</v>
      </c>
      <c r="D68" s="151">
        <f>D14+D20+D26+D32+D38+D44+D46+D54+D60+D66</f>
        <v>39359336.910000011</v>
      </c>
      <c r="E68" s="151">
        <f>E14+E20+E26+E32+E38+E44+E46+E54+E60+E66</f>
        <v>-119970343.56760016</v>
      </c>
    </row>
  </sheetData>
  <pageMargins left="0.75" right="0.75" top="0.75" bottom="0.75" header="0.5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9" sqref="D9"/>
    </sheetView>
  </sheetViews>
  <sheetFormatPr defaultColWidth="9.109375" defaultRowHeight="13.2" x14ac:dyDescent="0.25"/>
  <cols>
    <col min="1" max="1" width="30.6640625" style="158" customWidth="1"/>
    <col min="2" max="2" width="33.6640625" style="158" customWidth="1"/>
    <col min="3" max="5" width="22.6640625" style="159" customWidth="1"/>
    <col min="6" max="16384" width="9.109375" style="158"/>
  </cols>
  <sheetData>
    <row r="1" spans="1:5" s="162" customFormat="1" x14ac:dyDescent="0.25">
      <c r="A1" s="141" t="s">
        <v>53</v>
      </c>
      <c r="B1" s="142"/>
      <c r="C1" s="142"/>
      <c r="D1" s="142"/>
      <c r="E1" s="142"/>
    </row>
    <row r="2" spans="1:5" s="162" customFormat="1" x14ac:dyDescent="0.25">
      <c r="A2" s="143" t="s">
        <v>86</v>
      </c>
      <c r="B2" s="144"/>
      <c r="C2" s="144"/>
      <c r="D2" s="144"/>
      <c r="E2" s="144"/>
    </row>
    <row r="3" spans="1:5" s="162" customFormat="1" x14ac:dyDescent="0.25">
      <c r="A3" s="141" t="s">
        <v>179</v>
      </c>
      <c r="B3" s="142"/>
      <c r="C3" s="142"/>
      <c r="D3" s="142"/>
      <c r="E3" s="142"/>
    </row>
    <row r="4" spans="1:5" s="162" customFormat="1" x14ac:dyDescent="0.25">
      <c r="A4" s="167" t="s">
        <v>88</v>
      </c>
      <c r="B4" s="166"/>
      <c r="C4" s="166"/>
      <c r="D4" s="166"/>
      <c r="E4" s="166"/>
    </row>
    <row r="5" spans="1:5" s="162" customFormat="1" x14ac:dyDescent="0.25">
      <c r="A5" s="165" t="s">
        <v>178</v>
      </c>
      <c r="B5" s="164"/>
      <c r="C5" s="164"/>
      <c r="D5" s="164"/>
      <c r="E5" s="164"/>
    </row>
    <row r="6" spans="1:5" s="162" customFormat="1" x14ac:dyDescent="0.25"/>
    <row r="7" spans="1:5" s="162" customFormat="1" x14ac:dyDescent="0.25">
      <c r="B7" s="163" t="s">
        <v>30</v>
      </c>
      <c r="C7" s="163" t="s">
        <v>90</v>
      </c>
      <c r="D7" s="163" t="s">
        <v>177</v>
      </c>
      <c r="E7" s="163" t="s">
        <v>92</v>
      </c>
    </row>
    <row r="8" spans="1:5" s="162" customFormat="1" x14ac:dyDescent="0.25"/>
    <row r="9" spans="1:5" x14ac:dyDescent="0.25">
      <c r="A9" s="160" t="s">
        <v>93</v>
      </c>
      <c r="B9" s="160" t="s">
        <v>34</v>
      </c>
      <c r="C9" s="161">
        <v>898069970.38</v>
      </c>
      <c r="D9" s="161">
        <v>165181188.47999999</v>
      </c>
      <c r="E9" s="161">
        <v>1063251158.86</v>
      </c>
    </row>
    <row r="10" spans="1:5" x14ac:dyDescent="0.25">
      <c r="A10" s="160" t="s">
        <v>94</v>
      </c>
      <c r="B10" s="160" t="s">
        <v>35</v>
      </c>
      <c r="C10" s="159">
        <v>1719281856.95</v>
      </c>
      <c r="D10" s="159">
        <v>299072490</v>
      </c>
      <c r="E10" s="159">
        <v>2018354346.95</v>
      </c>
    </row>
    <row r="11" spans="1:5" x14ac:dyDescent="0.25">
      <c r="A11" s="160" t="s">
        <v>95</v>
      </c>
      <c r="B11" s="160" t="s">
        <v>36</v>
      </c>
      <c r="C11" s="159">
        <v>324693514.01999998</v>
      </c>
      <c r="D11" s="159">
        <v>62016993.460000001</v>
      </c>
      <c r="E11" s="159">
        <v>386710507.48000002</v>
      </c>
    </row>
    <row r="12" spans="1:5" x14ac:dyDescent="0.25">
      <c r="A12" s="160" t="s">
        <v>96</v>
      </c>
      <c r="B12" s="160" t="s">
        <v>37</v>
      </c>
      <c r="C12" s="159">
        <v>59095220.689999998</v>
      </c>
      <c r="D12" s="159">
        <v>10627564.949999999</v>
      </c>
      <c r="E12" s="159">
        <v>69722785.640000001</v>
      </c>
    </row>
    <row r="13" spans="1:5" x14ac:dyDescent="0.25">
      <c r="A13" s="160" t="s">
        <v>97</v>
      </c>
      <c r="B13" s="160" t="s">
        <v>38</v>
      </c>
      <c r="C13" s="159">
        <v>0</v>
      </c>
      <c r="D13" s="159">
        <v>0</v>
      </c>
      <c r="E13" s="159">
        <v>0</v>
      </c>
    </row>
    <row r="14" spans="1:5" s="150" customFormat="1" x14ac:dyDescent="0.25">
      <c r="A14" s="149" t="s">
        <v>98</v>
      </c>
      <c r="C14" s="151">
        <f>SUM(C9:C13)</f>
        <v>3001140562.04</v>
      </c>
      <c r="D14" s="151">
        <f>SUM(D9:D13)</f>
        <v>536898236.88999999</v>
      </c>
      <c r="E14" s="151">
        <f>SUM(E9:E13)</f>
        <v>3538038798.9299998</v>
      </c>
    </row>
    <row r="16" spans="1:5" x14ac:dyDescent="0.25">
      <c r="A16" s="160" t="s">
        <v>99</v>
      </c>
      <c r="B16" s="160" t="s">
        <v>100</v>
      </c>
      <c r="C16" s="159">
        <v>638535.48</v>
      </c>
      <c r="D16" s="159">
        <v>-2451.65</v>
      </c>
      <c r="E16" s="159">
        <v>636083.82999999996</v>
      </c>
    </row>
    <row r="17" spans="1:5" x14ac:dyDescent="0.25">
      <c r="A17" s="160" t="s">
        <v>101</v>
      </c>
      <c r="B17" s="160" t="s">
        <v>102</v>
      </c>
      <c r="C17" s="159">
        <v>1245122.93</v>
      </c>
      <c r="D17" s="159">
        <v>-4336.71</v>
      </c>
      <c r="E17" s="159">
        <v>1240786.22</v>
      </c>
    </row>
    <row r="18" spans="1:5" x14ac:dyDescent="0.25">
      <c r="A18" s="160" t="s">
        <v>103</v>
      </c>
      <c r="B18" s="160" t="s">
        <v>104</v>
      </c>
      <c r="C18" s="159">
        <v>234577.41</v>
      </c>
      <c r="D18" s="159">
        <v>-909.24</v>
      </c>
      <c r="E18" s="159">
        <v>233668.17</v>
      </c>
    </row>
    <row r="19" spans="1:5" x14ac:dyDescent="0.25">
      <c r="A19" s="160" t="s">
        <v>105</v>
      </c>
      <c r="B19" s="160" t="s">
        <v>106</v>
      </c>
      <c r="C19" s="159">
        <v>53485.61</v>
      </c>
      <c r="D19" s="159">
        <v>-136.86000000000001</v>
      </c>
      <c r="E19" s="159">
        <v>53348.75</v>
      </c>
    </row>
    <row r="20" spans="1:5" s="150" customFormat="1" x14ac:dyDescent="0.25">
      <c r="A20" s="149" t="s">
        <v>107</v>
      </c>
      <c r="C20" s="151">
        <f>SUM(C16:C19)</f>
        <v>2171721.4299999997</v>
      </c>
      <c r="D20" s="151">
        <f>SUM(D16:D19)</f>
        <v>-7834.46</v>
      </c>
      <c r="E20" s="151">
        <f>SUM(E16:E19)</f>
        <v>2163886.9699999997</v>
      </c>
    </row>
    <row r="22" spans="1:5" x14ac:dyDescent="0.25">
      <c r="A22" s="160" t="s">
        <v>108</v>
      </c>
      <c r="B22" s="160" t="s">
        <v>109</v>
      </c>
      <c r="C22" s="159">
        <v>286168.69</v>
      </c>
      <c r="D22" s="159">
        <v>34830.269999999997</v>
      </c>
      <c r="E22" s="159">
        <v>320998.96000000002</v>
      </c>
    </row>
    <row r="23" spans="1:5" x14ac:dyDescent="0.25">
      <c r="A23" s="160" t="s">
        <v>110</v>
      </c>
      <c r="B23" s="160" t="s">
        <v>111</v>
      </c>
      <c r="C23" s="159">
        <v>556481.37</v>
      </c>
      <c r="D23" s="159">
        <v>63081.73</v>
      </c>
      <c r="E23" s="159">
        <v>619563.1</v>
      </c>
    </row>
    <row r="24" spans="1:5" x14ac:dyDescent="0.25">
      <c r="A24" s="160" t="s">
        <v>112</v>
      </c>
      <c r="B24" s="160" t="s">
        <v>113</v>
      </c>
      <c r="C24" s="159">
        <v>105167.19</v>
      </c>
      <c r="D24" s="159">
        <v>13078.31</v>
      </c>
      <c r="E24" s="159">
        <v>118245.5</v>
      </c>
    </row>
    <row r="25" spans="1:5" x14ac:dyDescent="0.25">
      <c r="A25" s="160" t="s">
        <v>114</v>
      </c>
      <c r="B25" s="160" t="s">
        <v>115</v>
      </c>
      <c r="C25" s="159">
        <v>23775.272400000002</v>
      </c>
      <c r="D25" s="159">
        <v>2242.0100000000002</v>
      </c>
      <c r="E25" s="159">
        <v>26017.2824</v>
      </c>
    </row>
    <row r="26" spans="1:5" s="150" customFormat="1" x14ac:dyDescent="0.25">
      <c r="A26" s="149" t="s">
        <v>116</v>
      </c>
      <c r="C26" s="151">
        <f>SUM(C22:C25)</f>
        <v>971592.52240000002</v>
      </c>
      <c r="D26" s="151">
        <f>SUM(D22:D25)</f>
        <v>113232.31999999999</v>
      </c>
      <c r="E26" s="151">
        <f>SUM(E22:E25)</f>
        <v>1084824.8424</v>
      </c>
    </row>
    <row r="28" spans="1:5" x14ac:dyDescent="0.25">
      <c r="A28" s="160" t="s">
        <v>117</v>
      </c>
      <c r="B28" s="160" t="s">
        <v>118</v>
      </c>
      <c r="C28" s="159">
        <v>0</v>
      </c>
      <c r="D28" s="159">
        <v>0</v>
      </c>
      <c r="E28" s="159">
        <v>0</v>
      </c>
    </row>
    <row r="29" spans="1:5" x14ac:dyDescent="0.25">
      <c r="A29" s="160" t="s">
        <v>119</v>
      </c>
      <c r="B29" s="160" t="s">
        <v>120</v>
      </c>
      <c r="C29" s="159">
        <v>0</v>
      </c>
      <c r="D29" s="159">
        <v>0</v>
      </c>
      <c r="E29" s="159">
        <v>0</v>
      </c>
    </row>
    <row r="30" spans="1:5" x14ac:dyDescent="0.25">
      <c r="A30" s="160" t="s">
        <v>121</v>
      </c>
      <c r="B30" s="160" t="s">
        <v>122</v>
      </c>
      <c r="C30" s="159">
        <v>0</v>
      </c>
      <c r="D30" s="159">
        <v>0</v>
      </c>
      <c r="E30" s="159">
        <v>0</v>
      </c>
    </row>
    <row r="31" spans="1:5" x14ac:dyDescent="0.25">
      <c r="A31" s="160" t="s">
        <v>123</v>
      </c>
      <c r="B31" s="160" t="s">
        <v>124</v>
      </c>
      <c r="C31" s="159">
        <v>0</v>
      </c>
      <c r="D31" s="159">
        <v>0</v>
      </c>
      <c r="E31" s="159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160" t="s">
        <v>126</v>
      </c>
      <c r="B34" s="160" t="s">
        <v>127</v>
      </c>
      <c r="C34" s="159">
        <v>-3543628.9</v>
      </c>
      <c r="D34" s="159">
        <v>-326086.14</v>
      </c>
      <c r="E34" s="159">
        <v>-3869715.04</v>
      </c>
    </row>
    <row r="35" spans="1:5" x14ac:dyDescent="0.25">
      <c r="A35" s="160" t="s">
        <v>128</v>
      </c>
      <c r="B35" s="160" t="s">
        <v>129</v>
      </c>
      <c r="C35" s="159">
        <v>2906939.53</v>
      </c>
      <c r="D35" s="159">
        <v>-569742.37</v>
      </c>
      <c r="E35" s="159">
        <v>2337197.16</v>
      </c>
    </row>
    <row r="36" spans="1:5" x14ac:dyDescent="0.25">
      <c r="A36" s="160" t="s">
        <v>130</v>
      </c>
      <c r="B36" s="160" t="s">
        <v>131</v>
      </c>
      <c r="C36" s="159">
        <v>508002.44</v>
      </c>
      <c r="D36" s="159">
        <v>-117944.08</v>
      </c>
      <c r="E36" s="159">
        <v>390058.36</v>
      </c>
    </row>
    <row r="37" spans="1:5" x14ac:dyDescent="0.25">
      <c r="A37" s="160" t="s">
        <v>132</v>
      </c>
      <c r="B37" s="160" t="s">
        <v>133</v>
      </c>
      <c r="C37" s="159">
        <v>134720.41</v>
      </c>
      <c r="D37" s="159">
        <v>-20166.22</v>
      </c>
      <c r="E37" s="159">
        <v>114554.19</v>
      </c>
    </row>
    <row r="38" spans="1:5" s="150" customFormat="1" x14ac:dyDescent="0.25">
      <c r="A38" s="149" t="s">
        <v>134</v>
      </c>
      <c r="C38" s="151">
        <f>SUM(C34:C37)</f>
        <v>6033.4799999998941</v>
      </c>
      <c r="D38" s="151">
        <f>SUM(D34:D37)</f>
        <v>-1033938.8099999999</v>
      </c>
      <c r="E38" s="151">
        <f>SUM(E34:E37)</f>
        <v>-1027905.3300000001</v>
      </c>
    </row>
    <row r="40" spans="1:5" x14ac:dyDescent="0.25">
      <c r="A40" s="160" t="s">
        <v>135</v>
      </c>
      <c r="B40" s="160" t="s">
        <v>136</v>
      </c>
      <c r="C40" s="159">
        <v>-842121789.92999995</v>
      </c>
      <c r="D40" s="159">
        <v>-129818815.11</v>
      </c>
      <c r="E40" s="159">
        <v>-971940605.03999996</v>
      </c>
    </row>
    <row r="41" spans="1:5" x14ac:dyDescent="0.25">
      <c r="A41" s="160" t="s">
        <v>137</v>
      </c>
      <c r="B41" s="160" t="s">
        <v>138</v>
      </c>
      <c r="C41" s="159">
        <v>-1913781075.05</v>
      </c>
      <c r="D41" s="159">
        <v>-345891064.44999999</v>
      </c>
      <c r="E41" s="159">
        <v>-2259672139.5</v>
      </c>
    </row>
    <row r="42" spans="1:5" x14ac:dyDescent="0.25">
      <c r="A42" s="160" t="s">
        <v>139</v>
      </c>
      <c r="B42" s="160" t="s">
        <v>140</v>
      </c>
      <c r="C42" s="159">
        <v>-344087771.54000002</v>
      </c>
      <c r="D42" s="159">
        <v>-73265569.950000003</v>
      </c>
      <c r="E42" s="159">
        <v>-417353341.49000001</v>
      </c>
    </row>
    <row r="43" spans="1:5" x14ac:dyDescent="0.25">
      <c r="A43" s="160" t="s">
        <v>141</v>
      </c>
      <c r="B43" s="160" t="s">
        <v>142</v>
      </c>
      <c r="C43" s="159">
        <v>-13568531.27</v>
      </c>
      <c r="D43" s="159">
        <v>-3280650.41</v>
      </c>
      <c r="E43" s="159">
        <v>-16849181.68</v>
      </c>
    </row>
    <row r="44" spans="1:5" s="150" customFormat="1" x14ac:dyDescent="0.25">
      <c r="A44" s="149" t="s">
        <v>143</v>
      </c>
      <c r="C44" s="151">
        <f>SUM(C40:C43)</f>
        <v>-3113559167.79</v>
      </c>
      <c r="D44" s="151">
        <f>SUM(D40:D43)</f>
        <v>-552256099.91999996</v>
      </c>
      <c r="E44" s="151">
        <f>SUM(E40:E43)</f>
        <v>-3665815267.7099996</v>
      </c>
    </row>
    <row r="45" spans="1:5" x14ac:dyDescent="0.25">
      <c r="D45" s="159">
        <v>536898236.88999999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160" t="s">
        <v>145</v>
      </c>
    </row>
    <row r="50" spans="1:5" x14ac:dyDescent="0.25">
      <c r="A50" s="160" t="s">
        <v>146</v>
      </c>
      <c r="B50" s="160" t="s">
        <v>80</v>
      </c>
      <c r="C50" s="159">
        <v>0</v>
      </c>
      <c r="D50" s="159">
        <v>0</v>
      </c>
      <c r="E50" s="159">
        <v>0</v>
      </c>
    </row>
    <row r="51" spans="1:5" x14ac:dyDescent="0.25">
      <c r="A51" s="160" t="s">
        <v>147</v>
      </c>
      <c r="B51" s="160" t="s">
        <v>81</v>
      </c>
      <c r="C51" s="159">
        <v>0</v>
      </c>
      <c r="D51" s="159">
        <v>0</v>
      </c>
      <c r="E51" s="159">
        <v>0</v>
      </c>
    </row>
    <row r="52" spans="1:5" x14ac:dyDescent="0.25">
      <c r="A52" s="160" t="s">
        <v>148</v>
      </c>
      <c r="B52" s="160" t="s">
        <v>82</v>
      </c>
      <c r="C52" s="159">
        <v>0</v>
      </c>
      <c r="D52" s="159">
        <v>0</v>
      </c>
      <c r="E52" s="159">
        <v>0</v>
      </c>
    </row>
    <row r="53" spans="1:5" x14ac:dyDescent="0.25">
      <c r="A53" s="160" t="s">
        <v>149</v>
      </c>
      <c r="B53" s="160" t="s">
        <v>83</v>
      </c>
      <c r="C53" s="159">
        <v>0</v>
      </c>
      <c r="D53" s="159">
        <v>0</v>
      </c>
      <c r="E53" s="159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160" t="s">
        <v>151</v>
      </c>
      <c r="B56" s="160" t="s">
        <v>40</v>
      </c>
      <c r="C56" s="159">
        <v>-38849471.350000001</v>
      </c>
      <c r="D56" s="159">
        <v>-8793968</v>
      </c>
      <c r="E56" s="159">
        <v>-47643439.350000001</v>
      </c>
    </row>
    <row r="57" spans="1:5" x14ac:dyDescent="0.25">
      <c r="A57" s="160" t="s">
        <v>152</v>
      </c>
      <c r="B57" s="160" t="s">
        <v>41</v>
      </c>
      <c r="C57" s="159">
        <v>-11563301.93</v>
      </c>
      <c r="D57" s="159">
        <v>-6512783.9900000002</v>
      </c>
      <c r="E57" s="159">
        <v>-18076085.920000002</v>
      </c>
    </row>
    <row r="58" spans="1:5" x14ac:dyDescent="0.25">
      <c r="A58" s="160" t="s">
        <v>153</v>
      </c>
      <c r="B58" s="160" t="s">
        <v>42</v>
      </c>
      <c r="C58" s="159">
        <v>-1599140.85</v>
      </c>
      <c r="D58" s="159">
        <v>289446.2</v>
      </c>
      <c r="E58" s="159">
        <v>-1309694.6499999999</v>
      </c>
    </row>
    <row r="59" spans="1:5" x14ac:dyDescent="0.25">
      <c r="A59" s="160" t="s">
        <v>154</v>
      </c>
      <c r="B59" s="160" t="s">
        <v>43</v>
      </c>
      <c r="C59" s="159">
        <v>-3345225.24</v>
      </c>
      <c r="D59" s="159">
        <v>-825772.3</v>
      </c>
      <c r="E59" s="159">
        <v>-4170997.54</v>
      </c>
    </row>
    <row r="60" spans="1:5" s="150" customFormat="1" x14ac:dyDescent="0.25">
      <c r="A60" s="149" t="s">
        <v>155</v>
      </c>
      <c r="C60" s="151">
        <f>SUM(C56:C59)</f>
        <v>-55357139.370000005</v>
      </c>
      <c r="D60" s="151">
        <f>SUM(D56:D59)</f>
        <v>-15843078.090000002</v>
      </c>
      <c r="E60" s="151">
        <f>SUM(E56:E59)</f>
        <v>-71200217.460000008</v>
      </c>
    </row>
    <row r="62" spans="1:5" x14ac:dyDescent="0.25">
      <c r="A62" s="160" t="s">
        <v>156</v>
      </c>
      <c r="B62" s="160" t="s">
        <v>157</v>
      </c>
      <c r="C62" s="159">
        <v>28345096.359999999</v>
      </c>
      <c r="D62" s="159">
        <v>3175879.83</v>
      </c>
      <c r="E62" s="159">
        <v>31520976.190000001</v>
      </c>
    </row>
    <row r="63" spans="1:5" x14ac:dyDescent="0.25">
      <c r="A63" s="160" t="s">
        <v>158</v>
      </c>
      <c r="B63" s="160" t="s">
        <v>159</v>
      </c>
      <c r="C63" s="159">
        <v>2683165.09</v>
      </c>
      <c r="D63" s="159">
        <v>240351.64</v>
      </c>
      <c r="E63" s="159">
        <v>2923516.73</v>
      </c>
    </row>
    <row r="64" spans="1:5" x14ac:dyDescent="0.25">
      <c r="A64" s="160" t="s">
        <v>160</v>
      </c>
      <c r="B64" s="160" t="s">
        <v>161</v>
      </c>
      <c r="C64" s="159">
        <v>1026173.56</v>
      </c>
      <c r="D64" s="159">
        <v>104843.25</v>
      </c>
      <c r="E64" s="159">
        <v>1131016.81</v>
      </c>
    </row>
    <row r="65" spans="1:5" x14ac:dyDescent="0.25">
      <c r="A65" s="160" t="s">
        <v>162</v>
      </c>
      <c r="B65" s="160" t="s">
        <v>163</v>
      </c>
      <c r="C65" s="159">
        <v>1649825.36</v>
      </c>
      <c r="D65" s="159">
        <v>200864.19</v>
      </c>
      <c r="E65" s="159">
        <v>1850689.55</v>
      </c>
    </row>
    <row r="66" spans="1:5" s="150" customFormat="1" x14ac:dyDescent="0.25">
      <c r="A66" s="149" t="s">
        <v>164</v>
      </c>
      <c r="C66" s="151">
        <f>SUM(C62:C65)</f>
        <v>33704260.369999997</v>
      </c>
      <c r="D66" s="151">
        <f>SUM(D62:D65)</f>
        <v>3721938.91</v>
      </c>
      <c r="E66" s="151">
        <f>SUM(E62:E65)</f>
        <v>37426199.280000001</v>
      </c>
    </row>
    <row r="68" spans="1:5" s="150" customFormat="1" x14ac:dyDescent="0.25">
      <c r="A68" s="149" t="s">
        <v>31</v>
      </c>
      <c r="C68" s="151">
        <f>C14+C20+C26+C32+C38+C44+C46+C54+C60+C66</f>
        <v>-130922137.31760025</v>
      </c>
      <c r="D68" s="151">
        <f>D14+D20+D26+D32+D38+D44+D46+D54+D60+D66</f>
        <v>-28407543.159999963</v>
      </c>
      <c r="E68" s="151">
        <f>E14+E20+E26+E32+E38+E44+E46+E54+E60+E66</f>
        <v>-159329680.4775998</v>
      </c>
    </row>
  </sheetData>
  <pageMargins left="0.75" right="0.75" top="0.75" bottom="0.75" header="0.5" footer="0.5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5" activePane="bottomLeft" state="frozenSplit"/>
      <selection pane="bottomLeft" activeCell="D40" sqref="D40"/>
    </sheetView>
  </sheetViews>
  <sheetFormatPr defaultColWidth="9.109375" defaultRowHeight="13.2" x14ac:dyDescent="0.25"/>
  <cols>
    <col min="1" max="1" width="30.6640625" style="93" customWidth="1"/>
    <col min="2" max="2" width="33.6640625" style="93" customWidth="1"/>
    <col min="3" max="5" width="22.6640625" style="45" customWidth="1"/>
    <col min="6" max="16384" width="9.109375" style="93"/>
  </cols>
  <sheetData>
    <row r="1" spans="1:5" s="49" customFormat="1" x14ac:dyDescent="0.25">
      <c r="A1" s="141" t="s">
        <v>53</v>
      </c>
      <c r="B1" s="142"/>
      <c r="C1" s="142"/>
      <c r="D1" s="142"/>
      <c r="E1" s="142"/>
    </row>
    <row r="2" spans="1:5" s="49" customFormat="1" x14ac:dyDescent="0.25">
      <c r="A2" s="143" t="s">
        <v>86</v>
      </c>
      <c r="B2" s="144"/>
      <c r="C2" s="144"/>
      <c r="D2" s="144"/>
      <c r="E2" s="144"/>
    </row>
    <row r="3" spans="1:5" s="49" customFormat="1" x14ac:dyDescent="0.25">
      <c r="A3" s="141" t="s">
        <v>168</v>
      </c>
      <c r="B3" s="142"/>
      <c r="C3" s="142"/>
      <c r="D3" s="142"/>
      <c r="E3" s="142"/>
    </row>
    <row r="4" spans="1:5" s="49" customFormat="1" x14ac:dyDescent="0.25">
      <c r="A4" s="145" t="s">
        <v>88</v>
      </c>
      <c r="B4" s="146"/>
      <c r="C4" s="146"/>
      <c r="D4" s="146"/>
      <c r="E4" s="146"/>
    </row>
    <row r="5" spans="1:5" s="49" customFormat="1" x14ac:dyDescent="0.25">
      <c r="A5" s="47" t="s">
        <v>176</v>
      </c>
      <c r="B5" s="48"/>
      <c r="C5" s="48"/>
      <c r="D5" s="48"/>
      <c r="E5" s="48"/>
    </row>
    <row r="6" spans="1:5" s="49" customFormat="1" x14ac:dyDescent="0.25"/>
    <row r="7" spans="1:5" s="49" customFormat="1" x14ac:dyDescent="0.25">
      <c r="B7" s="69" t="s">
        <v>30</v>
      </c>
      <c r="C7" s="69" t="s">
        <v>90</v>
      </c>
      <c r="D7" s="69" t="s">
        <v>170</v>
      </c>
      <c r="E7" s="69" t="s">
        <v>92</v>
      </c>
    </row>
    <row r="8" spans="1:5" s="49" customFormat="1" x14ac:dyDescent="0.25"/>
    <row r="9" spans="1:5" x14ac:dyDescent="0.25">
      <c r="A9" s="50" t="s">
        <v>93</v>
      </c>
      <c r="B9" s="50" t="s">
        <v>34</v>
      </c>
      <c r="C9" s="51">
        <v>731795939.14999998</v>
      </c>
      <c r="D9" s="51">
        <v>166274031.22999999</v>
      </c>
      <c r="E9" s="51">
        <v>898069970.38</v>
      </c>
    </row>
    <row r="10" spans="1:5" x14ac:dyDescent="0.25">
      <c r="A10" s="50" t="s">
        <v>94</v>
      </c>
      <c r="B10" s="50" t="s">
        <v>35</v>
      </c>
      <c r="C10" s="45">
        <v>1417928016.3099999</v>
      </c>
      <c r="D10" s="45">
        <v>301353840.63999999</v>
      </c>
      <c r="E10" s="45">
        <v>1719281856.95</v>
      </c>
    </row>
    <row r="11" spans="1:5" x14ac:dyDescent="0.25">
      <c r="A11" s="50" t="s">
        <v>95</v>
      </c>
      <c r="B11" s="50" t="s">
        <v>36</v>
      </c>
      <c r="C11" s="45">
        <v>262251774.74000001</v>
      </c>
      <c r="D11" s="45">
        <v>62441739.280000001</v>
      </c>
      <c r="E11" s="45">
        <v>324693514.01999998</v>
      </c>
    </row>
    <row r="12" spans="1:5" x14ac:dyDescent="0.25">
      <c r="A12" s="50" t="s">
        <v>96</v>
      </c>
      <c r="B12" s="50" t="s">
        <v>37</v>
      </c>
      <c r="C12" s="45">
        <v>48351376.210000001</v>
      </c>
      <c r="D12" s="45">
        <v>10743844.48</v>
      </c>
      <c r="E12" s="45">
        <v>59095220.689999998</v>
      </c>
    </row>
    <row r="13" spans="1:5" x14ac:dyDescent="0.25">
      <c r="A13" s="50" t="s">
        <v>97</v>
      </c>
      <c r="B13" s="50" t="s">
        <v>38</v>
      </c>
      <c r="C13" s="45">
        <v>0</v>
      </c>
      <c r="D13" s="45">
        <v>0</v>
      </c>
      <c r="E13" s="45">
        <v>0</v>
      </c>
    </row>
    <row r="14" spans="1:5" s="150" customFormat="1" x14ac:dyDescent="0.25">
      <c r="A14" s="149" t="s">
        <v>98</v>
      </c>
      <c r="C14" s="151">
        <f>SUM(C9:C13)</f>
        <v>2460327106.4099998</v>
      </c>
      <c r="D14" s="151">
        <f>SUM(D9:D13)</f>
        <v>540813455.63</v>
      </c>
      <c r="E14" s="151">
        <f>SUM(E9:E13)</f>
        <v>3001140562.04</v>
      </c>
    </row>
    <row r="16" spans="1:5" x14ac:dyDescent="0.25">
      <c r="A16" s="50" t="s">
        <v>99</v>
      </c>
      <c r="B16" s="50" t="s">
        <v>100</v>
      </c>
      <c r="C16" s="45">
        <v>530244.55000000005</v>
      </c>
      <c r="D16" s="45">
        <v>108290.93</v>
      </c>
      <c r="E16" s="45">
        <v>638535.48</v>
      </c>
    </row>
    <row r="17" spans="1:5" x14ac:dyDescent="0.25">
      <c r="A17" s="50" t="s">
        <v>101</v>
      </c>
      <c r="B17" s="50" t="s">
        <v>102</v>
      </c>
      <c r="C17" s="45">
        <v>1049000.8500000001</v>
      </c>
      <c r="D17" s="45">
        <v>196122.08</v>
      </c>
      <c r="E17" s="45">
        <v>1245122.93</v>
      </c>
    </row>
    <row r="18" spans="1:5" x14ac:dyDescent="0.25">
      <c r="A18" s="50" t="s">
        <v>103</v>
      </c>
      <c r="B18" s="50" t="s">
        <v>104</v>
      </c>
      <c r="C18" s="45">
        <v>193894.42</v>
      </c>
      <c r="D18" s="45">
        <v>40682.99</v>
      </c>
      <c r="E18" s="45">
        <v>234577.41</v>
      </c>
    </row>
    <row r="19" spans="1:5" x14ac:dyDescent="0.25">
      <c r="A19" s="50" t="s">
        <v>105</v>
      </c>
      <c r="B19" s="50" t="s">
        <v>106</v>
      </c>
      <c r="C19" s="45">
        <v>46538.73</v>
      </c>
      <c r="D19" s="45">
        <v>6946.88</v>
      </c>
      <c r="E19" s="45">
        <v>53485.61</v>
      </c>
    </row>
    <row r="20" spans="1:5" s="150" customFormat="1" x14ac:dyDescent="0.25">
      <c r="A20" s="149" t="s">
        <v>107</v>
      </c>
      <c r="C20" s="151">
        <f>SUM(C16:C19)</f>
        <v>1819678.55</v>
      </c>
      <c r="D20" s="151">
        <f>SUM(D16:D19)</f>
        <v>352042.88</v>
      </c>
      <c r="E20" s="151">
        <f>SUM(E16:E19)</f>
        <v>2171721.4299999997</v>
      </c>
    </row>
    <row r="22" spans="1:5" x14ac:dyDescent="0.25">
      <c r="A22" s="50" t="s">
        <v>108</v>
      </c>
      <c r="B22" s="50" t="s">
        <v>109</v>
      </c>
      <c r="C22" s="45">
        <v>242671.61</v>
      </c>
      <c r="D22" s="45">
        <v>43497.08</v>
      </c>
      <c r="E22" s="45">
        <v>286168.69</v>
      </c>
    </row>
    <row r="23" spans="1:5" x14ac:dyDescent="0.25">
      <c r="A23" s="50" t="s">
        <v>110</v>
      </c>
      <c r="B23" s="50" t="s">
        <v>111</v>
      </c>
      <c r="C23" s="45">
        <v>477702.95</v>
      </c>
      <c r="D23" s="45">
        <v>78778.42</v>
      </c>
      <c r="E23" s="45">
        <v>556481.37</v>
      </c>
    </row>
    <row r="24" spans="1:5" x14ac:dyDescent="0.25">
      <c r="A24" s="50" t="s">
        <v>112</v>
      </c>
      <c r="B24" s="50" t="s">
        <v>113</v>
      </c>
      <c r="C24" s="45">
        <v>88834.6</v>
      </c>
      <c r="D24" s="45">
        <v>16332.59</v>
      </c>
      <c r="E24" s="45">
        <v>105167.19</v>
      </c>
    </row>
    <row r="25" spans="1:5" x14ac:dyDescent="0.25">
      <c r="A25" s="50" t="s">
        <v>114</v>
      </c>
      <c r="B25" s="50" t="s">
        <v>115</v>
      </c>
      <c r="C25" s="45">
        <v>20975.3524</v>
      </c>
      <c r="D25" s="45">
        <v>2799.92</v>
      </c>
      <c r="E25" s="45">
        <v>23775.272400000002</v>
      </c>
    </row>
    <row r="26" spans="1:5" s="150" customFormat="1" x14ac:dyDescent="0.25">
      <c r="A26" s="149" t="s">
        <v>116</v>
      </c>
      <c r="C26" s="151">
        <f>SUM(C22:C25)</f>
        <v>830184.51240000001</v>
      </c>
      <c r="D26" s="151">
        <f>SUM(D22:D25)</f>
        <v>141408.01</v>
      </c>
      <c r="E26" s="151">
        <f>SUM(E22:E25)</f>
        <v>971592.52240000002</v>
      </c>
    </row>
    <row r="28" spans="1:5" x14ac:dyDescent="0.25">
      <c r="A28" s="50" t="s">
        <v>117</v>
      </c>
      <c r="B28" s="50" t="s">
        <v>118</v>
      </c>
      <c r="C28" s="45">
        <v>0</v>
      </c>
      <c r="D28" s="45">
        <v>0</v>
      </c>
      <c r="E28" s="45">
        <v>0</v>
      </c>
    </row>
    <row r="29" spans="1:5" x14ac:dyDescent="0.25">
      <c r="A29" s="50" t="s">
        <v>119</v>
      </c>
      <c r="B29" s="50" t="s">
        <v>120</v>
      </c>
      <c r="C29" s="45">
        <v>0</v>
      </c>
      <c r="D29" s="45">
        <v>0</v>
      </c>
      <c r="E29" s="45">
        <v>0</v>
      </c>
    </row>
    <row r="30" spans="1:5" x14ac:dyDescent="0.25">
      <c r="A30" s="50" t="s">
        <v>121</v>
      </c>
      <c r="B30" s="50" t="s">
        <v>122</v>
      </c>
      <c r="C30" s="45">
        <v>0</v>
      </c>
      <c r="D30" s="45">
        <v>0</v>
      </c>
      <c r="E30" s="45">
        <v>0</v>
      </c>
    </row>
    <row r="31" spans="1:5" x14ac:dyDescent="0.25">
      <c r="A31" s="50" t="s">
        <v>123</v>
      </c>
      <c r="B31" s="50" t="s">
        <v>124</v>
      </c>
      <c r="C31" s="45">
        <v>0</v>
      </c>
      <c r="D31" s="45">
        <v>0</v>
      </c>
      <c r="E31" s="45">
        <v>0</v>
      </c>
    </row>
    <row r="32" spans="1:5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</row>
    <row r="34" spans="1:5" x14ac:dyDescent="0.25">
      <c r="A34" s="50" t="s">
        <v>126</v>
      </c>
      <c r="B34" s="50" t="s">
        <v>127</v>
      </c>
      <c r="C34" s="45">
        <v>-1923246.02</v>
      </c>
      <c r="D34" s="45">
        <v>-1620382.88</v>
      </c>
      <c r="E34" s="45">
        <v>-3543628.9</v>
      </c>
    </row>
    <row r="35" spans="1:5" x14ac:dyDescent="0.25">
      <c r="A35" s="50" t="s">
        <v>128</v>
      </c>
      <c r="B35" s="50" t="s">
        <v>129</v>
      </c>
      <c r="C35" s="45">
        <v>3224056.69</v>
      </c>
      <c r="D35" s="45">
        <v>-317117.15999999997</v>
      </c>
      <c r="E35" s="45">
        <v>2906939.53</v>
      </c>
    </row>
    <row r="36" spans="1:5" x14ac:dyDescent="0.25">
      <c r="A36" s="50" t="s">
        <v>130</v>
      </c>
      <c r="B36" s="50" t="s">
        <v>131</v>
      </c>
      <c r="C36" s="45">
        <v>573639.55000000005</v>
      </c>
      <c r="D36" s="45">
        <v>-65637.11</v>
      </c>
      <c r="E36" s="45">
        <v>508002.44</v>
      </c>
    </row>
    <row r="37" spans="1:5" x14ac:dyDescent="0.25">
      <c r="A37" s="50" t="s">
        <v>132</v>
      </c>
      <c r="B37" s="50" t="s">
        <v>133</v>
      </c>
      <c r="C37" s="45">
        <v>145923.76</v>
      </c>
      <c r="D37" s="45">
        <v>-11203.35</v>
      </c>
      <c r="E37" s="45">
        <v>134720.41</v>
      </c>
    </row>
    <row r="38" spans="1:5" s="150" customFormat="1" x14ac:dyDescent="0.25">
      <c r="A38" s="149" t="s">
        <v>134</v>
      </c>
      <c r="C38" s="151">
        <f>SUM(C34:C37)</f>
        <v>2020373.98</v>
      </c>
      <c r="D38" s="151">
        <f>SUM(D34:D37)</f>
        <v>-2014340.5</v>
      </c>
      <c r="E38" s="151">
        <f>SUM(E34:E37)</f>
        <v>6033.4799999998941</v>
      </c>
    </row>
    <row r="40" spans="1:5" x14ac:dyDescent="0.25">
      <c r="A40" s="50" t="s">
        <v>135</v>
      </c>
      <c r="B40" s="50" t="s">
        <v>136</v>
      </c>
      <c r="C40" s="45">
        <v>-722297515.88999999</v>
      </c>
      <c r="D40" s="45">
        <v>-119824274.04000001</v>
      </c>
      <c r="E40" s="45">
        <v>-842121789.92999995</v>
      </c>
    </row>
    <row r="41" spans="1:5" x14ac:dyDescent="0.25">
      <c r="A41" s="50" t="s">
        <v>137</v>
      </c>
      <c r="B41" s="50" t="s">
        <v>138</v>
      </c>
      <c r="C41" s="45">
        <v>-1571322046.9000001</v>
      </c>
      <c r="D41" s="45">
        <v>-342459028.14999998</v>
      </c>
      <c r="E41" s="45">
        <v>-1913781075.05</v>
      </c>
    </row>
    <row r="42" spans="1:5" x14ac:dyDescent="0.25">
      <c r="A42" s="50" t="s">
        <v>139</v>
      </c>
      <c r="B42" s="50" t="s">
        <v>140</v>
      </c>
      <c r="C42" s="45">
        <v>-272043958.30000001</v>
      </c>
      <c r="D42" s="45">
        <v>-72043813.239999995</v>
      </c>
      <c r="E42" s="45">
        <v>-344087771.54000002</v>
      </c>
    </row>
    <row r="43" spans="1:5" x14ac:dyDescent="0.25">
      <c r="A43" s="50" t="s">
        <v>141</v>
      </c>
      <c r="B43" s="50" t="s">
        <v>142</v>
      </c>
      <c r="C43" s="45">
        <v>-11116282.74</v>
      </c>
      <c r="D43" s="45">
        <v>-2452248.5299999998</v>
      </c>
      <c r="E43" s="45">
        <v>-13568531.27</v>
      </c>
    </row>
    <row r="44" spans="1:5" s="150" customFormat="1" x14ac:dyDescent="0.25">
      <c r="A44" s="149" t="s">
        <v>143</v>
      </c>
      <c r="C44" s="151">
        <f>SUM(C40:C43)</f>
        <v>-2576779803.8299999</v>
      </c>
      <c r="D44" s="151">
        <f>SUM(D40:D43)</f>
        <v>-536779363.95999998</v>
      </c>
      <c r="E44" s="151">
        <f>SUM(E40:E43)</f>
        <v>-3113559167.79</v>
      </c>
    </row>
    <row r="46" spans="1:5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</row>
    <row r="47" spans="1:5" x14ac:dyDescent="0.25">
      <c r="A47" s="50" t="s">
        <v>145</v>
      </c>
    </row>
    <row r="50" spans="1:5" x14ac:dyDescent="0.25">
      <c r="A50" s="50" t="s">
        <v>146</v>
      </c>
      <c r="B50" s="50" t="s">
        <v>80</v>
      </c>
      <c r="C50" s="45">
        <v>0</v>
      </c>
      <c r="D50" s="45">
        <v>0</v>
      </c>
      <c r="E50" s="45">
        <v>0</v>
      </c>
    </row>
    <row r="51" spans="1:5" x14ac:dyDescent="0.25">
      <c r="A51" s="50" t="s">
        <v>147</v>
      </c>
      <c r="B51" s="50" t="s">
        <v>81</v>
      </c>
      <c r="C51" s="45">
        <v>0</v>
      </c>
      <c r="D51" s="45">
        <v>0</v>
      </c>
      <c r="E51" s="45">
        <v>0</v>
      </c>
    </row>
    <row r="52" spans="1:5" x14ac:dyDescent="0.25">
      <c r="A52" s="50" t="s">
        <v>148</v>
      </c>
      <c r="B52" s="50" t="s">
        <v>82</v>
      </c>
      <c r="C52" s="45">
        <v>0</v>
      </c>
      <c r="D52" s="45">
        <v>0</v>
      </c>
      <c r="E52" s="45">
        <v>0</v>
      </c>
    </row>
    <row r="53" spans="1:5" x14ac:dyDescent="0.25">
      <c r="A53" s="50" t="s">
        <v>149</v>
      </c>
      <c r="B53" s="50" t="s">
        <v>83</v>
      </c>
      <c r="C53" s="45">
        <v>0</v>
      </c>
      <c r="D53" s="45">
        <v>0</v>
      </c>
      <c r="E53" s="45">
        <v>0</v>
      </c>
    </row>
    <row r="54" spans="1:5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</row>
    <row r="56" spans="1:5" x14ac:dyDescent="0.25">
      <c r="A56" s="50" t="s">
        <v>151</v>
      </c>
      <c r="B56" s="50" t="s">
        <v>40</v>
      </c>
      <c r="C56" s="45">
        <v>-25207372.609999999</v>
      </c>
      <c r="D56" s="45">
        <v>-13642098.74</v>
      </c>
      <c r="E56" s="45">
        <v>-38849471.350000001</v>
      </c>
    </row>
    <row r="57" spans="1:5" x14ac:dyDescent="0.25">
      <c r="A57" s="50" t="s">
        <v>152</v>
      </c>
      <c r="B57" s="50" t="s">
        <v>41</v>
      </c>
      <c r="C57" s="45">
        <v>-2318014.75</v>
      </c>
      <c r="D57" s="45">
        <v>-9245287.1799999997</v>
      </c>
      <c r="E57" s="45">
        <v>-11563301.93</v>
      </c>
    </row>
    <row r="58" spans="1:5" x14ac:dyDescent="0.25">
      <c r="A58" s="50" t="s">
        <v>153</v>
      </c>
      <c r="B58" s="50" t="s">
        <v>42</v>
      </c>
      <c r="C58" s="45">
        <v>-1753037.4</v>
      </c>
      <c r="D58" s="45">
        <v>153896.54999999999</v>
      </c>
      <c r="E58" s="45">
        <v>-1599140.85</v>
      </c>
    </row>
    <row r="59" spans="1:5" x14ac:dyDescent="0.25">
      <c r="A59" s="50" t="s">
        <v>154</v>
      </c>
      <c r="B59" s="50" t="s">
        <v>43</v>
      </c>
      <c r="C59" s="45">
        <v>-2657900.0499999998</v>
      </c>
      <c r="D59" s="45">
        <v>-687325.19</v>
      </c>
      <c r="E59" s="45">
        <v>-3345225.24</v>
      </c>
    </row>
    <row r="60" spans="1:5" s="150" customFormat="1" x14ac:dyDescent="0.25">
      <c r="A60" s="149" t="s">
        <v>155</v>
      </c>
      <c r="C60" s="151">
        <f>SUM(C56:C59)</f>
        <v>-31936324.809999999</v>
      </c>
      <c r="D60" s="151">
        <f>SUM(D56:D59)</f>
        <v>-23420814.560000002</v>
      </c>
      <c r="E60" s="151">
        <f>SUM(E56:E59)</f>
        <v>-55357139.370000005</v>
      </c>
    </row>
    <row r="62" spans="1:5" x14ac:dyDescent="0.25">
      <c r="A62" s="50" t="s">
        <v>156</v>
      </c>
      <c r="B62" s="50" t="s">
        <v>157</v>
      </c>
      <c r="C62" s="45">
        <v>24872759.379999999</v>
      </c>
      <c r="D62" s="45">
        <v>3472336.98</v>
      </c>
      <c r="E62" s="45">
        <v>28345096.359999999</v>
      </c>
    </row>
    <row r="63" spans="1:5" x14ac:dyDescent="0.25">
      <c r="A63" s="50" t="s">
        <v>158</v>
      </c>
      <c r="B63" s="50" t="s">
        <v>159</v>
      </c>
      <c r="C63" s="45">
        <v>2418296.75</v>
      </c>
      <c r="D63" s="45">
        <v>264868.34000000003</v>
      </c>
      <c r="E63" s="45">
        <v>2683165.09</v>
      </c>
    </row>
    <row r="64" spans="1:5" x14ac:dyDescent="0.25">
      <c r="A64" s="50" t="s">
        <v>160</v>
      </c>
      <c r="B64" s="50" t="s">
        <v>161</v>
      </c>
      <c r="C64" s="45">
        <v>909559.46</v>
      </c>
      <c r="D64" s="45">
        <v>116614.1</v>
      </c>
      <c r="E64" s="45">
        <v>1026173.56</v>
      </c>
    </row>
    <row r="65" spans="1:5" x14ac:dyDescent="0.25">
      <c r="A65" s="50" t="s">
        <v>162</v>
      </c>
      <c r="B65" s="50" t="s">
        <v>163</v>
      </c>
      <c r="C65" s="45">
        <v>1432558.17</v>
      </c>
      <c r="D65" s="45">
        <v>217267.19</v>
      </c>
      <c r="E65" s="45">
        <v>1649825.36</v>
      </c>
    </row>
    <row r="66" spans="1:5" s="150" customFormat="1" x14ac:dyDescent="0.25">
      <c r="A66" s="149" t="s">
        <v>164</v>
      </c>
      <c r="C66" s="151">
        <f>SUM(C62:C65)</f>
        <v>29633173.759999998</v>
      </c>
      <c r="D66" s="151">
        <f>SUM(D62:D65)</f>
        <v>4071086.61</v>
      </c>
      <c r="E66" s="151">
        <f>SUM(E62:E65)</f>
        <v>33704260.369999997</v>
      </c>
    </row>
    <row r="68" spans="1:5" s="150" customFormat="1" x14ac:dyDescent="0.25">
      <c r="A68" s="149" t="s">
        <v>31</v>
      </c>
      <c r="C68" s="151">
        <f>C14+C20+C26+C32+C38+C44+C46+C54+C60+C66</f>
        <v>-114085611.42759973</v>
      </c>
      <c r="D68" s="151">
        <f>D14+D20+D26+D32+D38+D44+D46+D54+D60+D66</f>
        <v>-16836525.890000001</v>
      </c>
      <c r="E68" s="151">
        <f>E14+E20+E26+E32+E38+E44+E46+E54+E60+E66</f>
        <v>-130922137.31760025</v>
      </c>
    </row>
  </sheetData>
  <pageMargins left="0.75" right="0.75" top="0.75" bottom="0.75" header="0.5" footer="0.5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view="pageBreakPreview" zoomScale="60" zoomScaleNormal="100" workbookViewId="0">
      <pane ySplit="8" topLeftCell="A9" activePane="bottomLeft" state="frozenSplit"/>
      <selection pane="bottomLeft" activeCell="D16" sqref="D16"/>
    </sheetView>
  </sheetViews>
  <sheetFormatPr defaultColWidth="9.109375" defaultRowHeight="13.2" x14ac:dyDescent="0.25"/>
  <cols>
    <col min="1" max="1" width="30.6640625" style="93" customWidth="1"/>
    <col min="2" max="2" width="33.6640625" style="93" customWidth="1"/>
    <col min="3" max="5" width="22.6640625" style="45" customWidth="1"/>
    <col min="6" max="16384" width="9.109375" style="93"/>
  </cols>
  <sheetData>
    <row r="1" spans="1:5" s="49" customFormat="1" x14ac:dyDescent="0.25">
      <c r="A1" s="129" t="s">
        <v>53</v>
      </c>
      <c r="B1" s="130"/>
      <c r="C1" s="130"/>
      <c r="D1" s="130"/>
      <c r="E1" s="130"/>
    </row>
    <row r="2" spans="1:5" s="49" customFormat="1" x14ac:dyDescent="0.25">
      <c r="A2" s="131" t="s">
        <v>86</v>
      </c>
      <c r="B2" s="132"/>
      <c r="C2" s="132"/>
      <c r="D2" s="132"/>
      <c r="E2" s="132"/>
    </row>
    <row r="3" spans="1:5" s="49" customFormat="1" x14ac:dyDescent="0.25">
      <c r="A3" s="129" t="s">
        <v>168</v>
      </c>
      <c r="B3" s="130"/>
      <c r="C3" s="130"/>
      <c r="D3" s="130"/>
      <c r="E3" s="130"/>
    </row>
    <row r="4" spans="1:5" s="49" customFormat="1" x14ac:dyDescent="0.25">
      <c r="A4" s="133" t="s">
        <v>88</v>
      </c>
      <c r="B4" s="134"/>
      <c r="C4" s="134"/>
      <c r="D4" s="134"/>
      <c r="E4" s="134"/>
    </row>
    <row r="5" spans="1:5" s="49" customFormat="1" x14ac:dyDescent="0.25">
      <c r="A5" s="47" t="s">
        <v>169</v>
      </c>
      <c r="B5" s="48"/>
      <c r="C5" s="48"/>
      <c r="D5" s="48"/>
      <c r="E5" s="48"/>
    </row>
    <row r="6" spans="1:5" s="49" customFormat="1" x14ac:dyDescent="0.25"/>
    <row r="7" spans="1:5" s="49" customFormat="1" x14ac:dyDescent="0.25">
      <c r="B7" s="69" t="s">
        <v>30</v>
      </c>
      <c r="C7" s="69" t="s">
        <v>90</v>
      </c>
      <c r="D7" s="69" t="s">
        <v>170</v>
      </c>
      <c r="E7" s="69" t="s">
        <v>92</v>
      </c>
    </row>
    <row r="8" spans="1:5" s="49" customFormat="1" x14ac:dyDescent="0.25"/>
    <row r="9" spans="1:5" x14ac:dyDescent="0.25">
      <c r="A9" s="50" t="s">
        <v>93</v>
      </c>
      <c r="B9" s="50" t="s">
        <v>34</v>
      </c>
      <c r="C9" s="51">
        <v>731795939.14999998</v>
      </c>
      <c r="D9" s="51">
        <v>166274031.22999999</v>
      </c>
      <c r="E9" s="51">
        <v>898069970.38</v>
      </c>
    </row>
    <row r="10" spans="1:5" x14ac:dyDescent="0.25">
      <c r="A10" s="50" t="s">
        <v>94</v>
      </c>
      <c r="B10" s="50" t="s">
        <v>35</v>
      </c>
      <c r="C10" s="45">
        <v>1417928016.3099999</v>
      </c>
      <c r="D10" s="45">
        <v>301353840.63999999</v>
      </c>
      <c r="E10" s="45">
        <v>1719281856.95</v>
      </c>
    </row>
    <row r="11" spans="1:5" x14ac:dyDescent="0.25">
      <c r="A11" s="50" t="s">
        <v>95</v>
      </c>
      <c r="B11" s="50" t="s">
        <v>36</v>
      </c>
      <c r="C11" s="45">
        <v>262251774.74000001</v>
      </c>
      <c r="D11" s="45">
        <v>62441739.280000001</v>
      </c>
      <c r="E11" s="45">
        <v>324693514.01999998</v>
      </c>
    </row>
    <row r="12" spans="1:5" x14ac:dyDescent="0.25">
      <c r="A12" s="50" t="s">
        <v>96</v>
      </c>
      <c r="B12" s="50" t="s">
        <v>37</v>
      </c>
      <c r="C12" s="45">
        <v>48351376.210000001</v>
      </c>
      <c r="D12" s="45">
        <v>10743844.48</v>
      </c>
      <c r="E12" s="45">
        <v>59095220.689999998</v>
      </c>
    </row>
    <row r="13" spans="1:5" x14ac:dyDescent="0.25">
      <c r="A13" s="50" t="s">
        <v>97</v>
      </c>
      <c r="B13" s="50" t="s">
        <v>38</v>
      </c>
      <c r="C13" s="45">
        <v>0</v>
      </c>
      <c r="D13" s="45">
        <v>0</v>
      </c>
      <c r="E13" s="45">
        <v>0</v>
      </c>
    </row>
    <row r="14" spans="1:5" s="136" customFormat="1" x14ac:dyDescent="0.25">
      <c r="A14" s="135" t="s">
        <v>98</v>
      </c>
      <c r="C14" s="137">
        <f>SUM(C9:C13)</f>
        <v>2460327106.4099998</v>
      </c>
      <c r="D14" s="137">
        <f>SUM(D9:D13)</f>
        <v>540813455.63</v>
      </c>
      <c r="E14" s="137">
        <f>SUM(E9:E13)</f>
        <v>3001140562.04</v>
      </c>
    </row>
    <row r="16" spans="1:5" x14ac:dyDescent="0.25">
      <c r="A16" s="50" t="s">
        <v>99</v>
      </c>
      <c r="B16" s="50" t="s">
        <v>100</v>
      </c>
      <c r="C16" s="45">
        <v>530244.55000000005</v>
      </c>
      <c r="D16" s="45">
        <v>108290.93</v>
      </c>
      <c r="E16" s="45">
        <v>638535.48</v>
      </c>
    </row>
    <row r="17" spans="1:5" x14ac:dyDescent="0.25">
      <c r="A17" s="50" t="s">
        <v>101</v>
      </c>
      <c r="B17" s="50" t="s">
        <v>102</v>
      </c>
      <c r="C17" s="45">
        <v>1049000.8500000001</v>
      </c>
      <c r="D17" s="45">
        <v>196122.08</v>
      </c>
      <c r="E17" s="45">
        <v>1245122.93</v>
      </c>
    </row>
    <row r="18" spans="1:5" x14ac:dyDescent="0.25">
      <c r="A18" s="50" t="s">
        <v>103</v>
      </c>
      <c r="B18" s="50" t="s">
        <v>104</v>
      </c>
      <c r="C18" s="45">
        <v>193894.42</v>
      </c>
      <c r="D18" s="45">
        <v>40682.99</v>
      </c>
      <c r="E18" s="45">
        <v>234577.41</v>
      </c>
    </row>
    <row r="19" spans="1:5" x14ac:dyDescent="0.25">
      <c r="A19" s="50" t="s">
        <v>105</v>
      </c>
      <c r="B19" s="50" t="s">
        <v>106</v>
      </c>
      <c r="C19" s="45">
        <v>46538.73</v>
      </c>
      <c r="D19" s="45">
        <v>6946.88</v>
      </c>
      <c r="E19" s="45">
        <v>53485.61</v>
      </c>
    </row>
    <row r="20" spans="1:5" s="136" customFormat="1" x14ac:dyDescent="0.25">
      <c r="A20" s="135" t="s">
        <v>107</v>
      </c>
      <c r="C20" s="137">
        <f>SUM(C16:C19)</f>
        <v>1819678.55</v>
      </c>
      <c r="D20" s="137">
        <f>SUM(D16:D19)</f>
        <v>352042.88</v>
      </c>
      <c r="E20" s="137">
        <f>SUM(E16:E19)</f>
        <v>2171721.4299999997</v>
      </c>
    </row>
    <row r="22" spans="1:5" x14ac:dyDescent="0.25">
      <c r="A22" s="50" t="s">
        <v>108</v>
      </c>
      <c r="B22" s="50" t="s">
        <v>109</v>
      </c>
      <c r="C22" s="45">
        <v>242671.61</v>
      </c>
      <c r="D22" s="45">
        <v>43497.08</v>
      </c>
      <c r="E22" s="45">
        <v>286168.69</v>
      </c>
    </row>
    <row r="23" spans="1:5" x14ac:dyDescent="0.25">
      <c r="A23" s="50" t="s">
        <v>110</v>
      </c>
      <c r="B23" s="50" t="s">
        <v>111</v>
      </c>
      <c r="C23" s="45">
        <v>477702.95</v>
      </c>
      <c r="D23" s="45">
        <v>78778.42</v>
      </c>
      <c r="E23" s="45">
        <v>556481.37</v>
      </c>
    </row>
    <row r="24" spans="1:5" x14ac:dyDescent="0.25">
      <c r="A24" s="50" t="s">
        <v>112</v>
      </c>
      <c r="B24" s="50" t="s">
        <v>113</v>
      </c>
      <c r="C24" s="45">
        <v>88834.6</v>
      </c>
      <c r="D24" s="45">
        <v>16332.59</v>
      </c>
      <c r="E24" s="45">
        <v>105167.19</v>
      </c>
    </row>
    <row r="25" spans="1:5" x14ac:dyDescent="0.25">
      <c r="A25" s="50" t="s">
        <v>114</v>
      </c>
      <c r="B25" s="50" t="s">
        <v>115</v>
      </c>
      <c r="C25" s="45">
        <v>20975.3524</v>
      </c>
      <c r="D25" s="45">
        <v>2799.92</v>
      </c>
      <c r="E25" s="45">
        <v>23775.272400000002</v>
      </c>
    </row>
    <row r="26" spans="1:5" s="136" customFormat="1" x14ac:dyDescent="0.25">
      <c r="A26" s="135" t="s">
        <v>116</v>
      </c>
      <c r="C26" s="137">
        <f>SUM(C22:C25)</f>
        <v>830184.51240000001</v>
      </c>
      <c r="D26" s="137">
        <f>SUM(D22:D25)</f>
        <v>141408.01</v>
      </c>
      <c r="E26" s="137">
        <f>SUM(E22:E25)</f>
        <v>971592.52240000002</v>
      </c>
    </row>
    <row r="28" spans="1:5" x14ac:dyDescent="0.25">
      <c r="A28" s="50" t="s">
        <v>117</v>
      </c>
      <c r="B28" s="50" t="s">
        <v>118</v>
      </c>
      <c r="C28" s="45">
        <v>0</v>
      </c>
      <c r="D28" s="45">
        <v>0</v>
      </c>
      <c r="E28" s="45">
        <v>0</v>
      </c>
    </row>
    <row r="29" spans="1:5" x14ac:dyDescent="0.25">
      <c r="A29" s="50" t="s">
        <v>119</v>
      </c>
      <c r="B29" s="50" t="s">
        <v>120</v>
      </c>
      <c r="C29" s="45">
        <v>0</v>
      </c>
      <c r="D29" s="45">
        <v>0</v>
      </c>
      <c r="E29" s="45">
        <v>0</v>
      </c>
    </row>
    <row r="30" spans="1:5" x14ac:dyDescent="0.25">
      <c r="A30" s="50" t="s">
        <v>121</v>
      </c>
      <c r="B30" s="50" t="s">
        <v>122</v>
      </c>
      <c r="C30" s="45">
        <v>0</v>
      </c>
      <c r="D30" s="45">
        <v>0</v>
      </c>
      <c r="E30" s="45">
        <v>0</v>
      </c>
    </row>
    <row r="31" spans="1:5" x14ac:dyDescent="0.25">
      <c r="A31" s="50" t="s">
        <v>123</v>
      </c>
      <c r="B31" s="50" t="s">
        <v>124</v>
      </c>
      <c r="C31" s="45">
        <v>0</v>
      </c>
      <c r="D31" s="45">
        <v>0</v>
      </c>
      <c r="E31" s="45">
        <v>0</v>
      </c>
    </row>
    <row r="32" spans="1:5" s="136" customFormat="1" x14ac:dyDescent="0.25">
      <c r="A32" s="135" t="s">
        <v>125</v>
      </c>
      <c r="C32" s="137">
        <f>SUM(C28:C31)</f>
        <v>0</v>
      </c>
      <c r="D32" s="137">
        <f>SUM(D28:D31)</f>
        <v>0</v>
      </c>
      <c r="E32" s="137">
        <f>SUM(E28:E31)</f>
        <v>0</v>
      </c>
    </row>
    <row r="34" spans="1:5" x14ac:dyDescent="0.25">
      <c r="A34" s="50" t="s">
        <v>126</v>
      </c>
      <c r="B34" s="50" t="s">
        <v>127</v>
      </c>
      <c r="C34" s="45">
        <v>-1923246.02</v>
      </c>
      <c r="D34" s="45">
        <v>-1620382.88</v>
      </c>
      <c r="E34" s="45">
        <v>-3543628.9</v>
      </c>
    </row>
    <row r="35" spans="1:5" x14ac:dyDescent="0.25">
      <c r="A35" s="50" t="s">
        <v>128</v>
      </c>
      <c r="B35" s="50" t="s">
        <v>129</v>
      </c>
      <c r="C35" s="45">
        <v>3224056.69</v>
      </c>
      <c r="D35" s="45">
        <v>-317117.15999999997</v>
      </c>
      <c r="E35" s="45">
        <v>2906939.53</v>
      </c>
    </row>
    <row r="36" spans="1:5" x14ac:dyDescent="0.25">
      <c r="A36" s="50" t="s">
        <v>130</v>
      </c>
      <c r="B36" s="50" t="s">
        <v>131</v>
      </c>
      <c r="C36" s="45">
        <v>573639.55000000005</v>
      </c>
      <c r="D36" s="45">
        <v>-65637.11</v>
      </c>
      <c r="E36" s="45">
        <v>508002.44</v>
      </c>
    </row>
    <row r="37" spans="1:5" x14ac:dyDescent="0.25">
      <c r="A37" s="50" t="s">
        <v>132</v>
      </c>
      <c r="B37" s="50" t="s">
        <v>133</v>
      </c>
      <c r="C37" s="45">
        <v>145923.76</v>
      </c>
      <c r="D37" s="45">
        <v>-11203.35</v>
      </c>
      <c r="E37" s="45">
        <v>134720.41</v>
      </c>
    </row>
    <row r="38" spans="1:5" s="136" customFormat="1" x14ac:dyDescent="0.25">
      <c r="A38" s="135" t="s">
        <v>134</v>
      </c>
      <c r="C38" s="137">
        <f>SUM(C34:C37)</f>
        <v>2020373.98</v>
      </c>
      <c r="D38" s="137">
        <f>SUM(D34:D37)</f>
        <v>-2014340.5</v>
      </c>
      <c r="E38" s="137">
        <f>SUM(E34:E37)</f>
        <v>6033.4799999998941</v>
      </c>
    </row>
    <row r="40" spans="1:5" x14ac:dyDescent="0.25">
      <c r="A40" s="50" t="s">
        <v>135</v>
      </c>
      <c r="B40" s="50" t="s">
        <v>136</v>
      </c>
      <c r="C40" s="45">
        <v>-722297515.88999999</v>
      </c>
      <c r="D40" s="45">
        <v>-119818928.54000001</v>
      </c>
      <c r="E40" s="45">
        <v>-842116444.42999995</v>
      </c>
    </row>
    <row r="41" spans="1:5" x14ac:dyDescent="0.25">
      <c r="A41" s="50" t="s">
        <v>137</v>
      </c>
      <c r="B41" s="50" t="s">
        <v>138</v>
      </c>
      <c r="C41" s="45">
        <v>-1571322046.9000001</v>
      </c>
      <c r="D41" s="45">
        <v>-342503522</v>
      </c>
      <c r="E41" s="45">
        <v>-1913825568.9000001</v>
      </c>
    </row>
    <row r="42" spans="1:5" x14ac:dyDescent="0.25">
      <c r="A42" s="50" t="s">
        <v>139</v>
      </c>
      <c r="B42" s="50" t="s">
        <v>140</v>
      </c>
      <c r="C42" s="45">
        <v>-272043958.30000001</v>
      </c>
      <c r="D42" s="45">
        <v>-72012166</v>
      </c>
      <c r="E42" s="45">
        <v>-344056124.30000001</v>
      </c>
    </row>
    <row r="43" spans="1:5" x14ac:dyDescent="0.25">
      <c r="A43" s="50" t="s">
        <v>141</v>
      </c>
      <c r="B43" s="50" t="s">
        <v>142</v>
      </c>
      <c r="C43" s="45">
        <v>-11116282.74</v>
      </c>
      <c r="D43" s="45">
        <v>-2490077.9700000002</v>
      </c>
      <c r="E43" s="45">
        <v>-13606360.710000001</v>
      </c>
    </row>
    <row r="44" spans="1:5" s="136" customFormat="1" x14ac:dyDescent="0.25">
      <c r="A44" s="135" t="s">
        <v>143</v>
      </c>
      <c r="C44" s="137">
        <f>SUM(C40:C43)</f>
        <v>-2576779803.8299999</v>
      </c>
      <c r="D44" s="137">
        <f>SUM(D40:D43)</f>
        <v>-536824694.51000005</v>
      </c>
      <c r="E44" s="137">
        <f>SUM(E40:E43)</f>
        <v>-3113604498.3400002</v>
      </c>
    </row>
    <row r="46" spans="1:5" s="136" customFormat="1" x14ac:dyDescent="0.25">
      <c r="A46" s="135" t="s">
        <v>144</v>
      </c>
      <c r="B46" s="135" t="s">
        <v>39</v>
      </c>
      <c r="C46" s="137">
        <v>0</v>
      </c>
      <c r="D46" s="137">
        <v>0</v>
      </c>
      <c r="E46" s="137">
        <v>0</v>
      </c>
    </row>
    <row r="47" spans="1:5" x14ac:dyDescent="0.25">
      <c r="A47" s="50" t="s">
        <v>145</v>
      </c>
    </row>
    <row r="50" spans="1:5" x14ac:dyDescent="0.25">
      <c r="A50" s="50" t="s">
        <v>146</v>
      </c>
      <c r="B50" s="50" t="s">
        <v>80</v>
      </c>
      <c r="C50" s="45">
        <v>0</v>
      </c>
      <c r="D50" s="45">
        <v>0</v>
      </c>
      <c r="E50" s="45">
        <v>0</v>
      </c>
    </row>
    <row r="51" spans="1:5" x14ac:dyDescent="0.25">
      <c r="A51" s="50" t="s">
        <v>147</v>
      </c>
      <c r="B51" s="50" t="s">
        <v>81</v>
      </c>
      <c r="C51" s="45">
        <v>0</v>
      </c>
      <c r="D51" s="45">
        <v>0</v>
      </c>
      <c r="E51" s="45">
        <v>0</v>
      </c>
    </row>
    <row r="52" spans="1:5" x14ac:dyDescent="0.25">
      <c r="A52" s="50" t="s">
        <v>148</v>
      </c>
      <c r="B52" s="50" t="s">
        <v>82</v>
      </c>
      <c r="C52" s="45">
        <v>0</v>
      </c>
      <c r="D52" s="45">
        <v>0</v>
      </c>
      <c r="E52" s="45">
        <v>0</v>
      </c>
    </row>
    <row r="53" spans="1:5" x14ac:dyDescent="0.25">
      <c r="A53" s="50" t="s">
        <v>149</v>
      </c>
      <c r="B53" s="50" t="s">
        <v>83</v>
      </c>
      <c r="C53" s="45">
        <v>0</v>
      </c>
      <c r="D53" s="45">
        <v>0</v>
      </c>
      <c r="E53" s="45">
        <v>0</v>
      </c>
    </row>
    <row r="54" spans="1:5" s="136" customFormat="1" x14ac:dyDescent="0.25">
      <c r="A54" s="135" t="s">
        <v>150</v>
      </c>
      <c r="C54" s="137">
        <f>SUM(C50:C53)</f>
        <v>0</v>
      </c>
      <c r="D54" s="137">
        <f>SUM(D50:D53)</f>
        <v>0</v>
      </c>
      <c r="E54" s="137">
        <f>SUM(E50:E53)</f>
        <v>0</v>
      </c>
    </row>
    <row r="56" spans="1:5" x14ac:dyDescent="0.25">
      <c r="A56" s="50" t="s">
        <v>151</v>
      </c>
      <c r="B56" s="50" t="s">
        <v>40</v>
      </c>
      <c r="C56" s="45">
        <v>-25207372.609999999</v>
      </c>
      <c r="D56" s="45">
        <v>16501683.18</v>
      </c>
      <c r="E56" s="45">
        <v>-8705689.4299999997</v>
      </c>
    </row>
    <row r="57" spans="1:5" x14ac:dyDescent="0.25">
      <c r="A57" s="50" t="s">
        <v>152</v>
      </c>
      <c r="B57" s="50" t="s">
        <v>41</v>
      </c>
      <c r="C57" s="45">
        <v>-2318014.75</v>
      </c>
      <c r="D57" s="45">
        <v>-38407647.670000002</v>
      </c>
      <c r="E57" s="45">
        <v>-40725662.420000002</v>
      </c>
    </row>
    <row r="58" spans="1:5" x14ac:dyDescent="0.25">
      <c r="A58" s="50" t="s">
        <v>153</v>
      </c>
      <c r="B58" s="50" t="s">
        <v>42</v>
      </c>
      <c r="C58" s="45">
        <v>-1753037.4</v>
      </c>
      <c r="D58" s="45">
        <v>-3573088.2</v>
      </c>
      <c r="E58" s="45">
        <v>-5326125.5999999996</v>
      </c>
    </row>
    <row r="59" spans="1:5" x14ac:dyDescent="0.25">
      <c r="A59" s="50" t="s">
        <v>154</v>
      </c>
      <c r="B59" s="50" t="s">
        <v>43</v>
      </c>
      <c r="C59" s="45">
        <v>-2657900.0499999998</v>
      </c>
      <c r="D59" s="45">
        <v>2058238.13</v>
      </c>
      <c r="E59" s="45">
        <v>-599661.92000000004</v>
      </c>
    </row>
    <row r="60" spans="1:5" s="136" customFormat="1" x14ac:dyDescent="0.25">
      <c r="A60" s="135" t="s">
        <v>155</v>
      </c>
      <c r="C60" s="137">
        <f>SUM(C56:C59)</f>
        <v>-31936324.809999999</v>
      </c>
      <c r="D60" s="137">
        <f>SUM(D56:D59)</f>
        <v>-23420814.560000002</v>
      </c>
      <c r="E60" s="137">
        <f>SUM(E56:E59)</f>
        <v>-55357139.370000005</v>
      </c>
    </row>
    <row r="62" spans="1:5" x14ac:dyDescent="0.25">
      <c r="A62" s="50" t="s">
        <v>156</v>
      </c>
      <c r="B62" s="50" t="s">
        <v>157</v>
      </c>
      <c r="C62" s="45">
        <v>24872759.379999999</v>
      </c>
      <c r="D62" s="45">
        <v>3472336.98</v>
      </c>
      <c r="E62" s="45">
        <v>28345096.359999999</v>
      </c>
    </row>
    <row r="63" spans="1:5" x14ac:dyDescent="0.25">
      <c r="A63" s="50" t="s">
        <v>158</v>
      </c>
      <c r="B63" s="50" t="s">
        <v>159</v>
      </c>
      <c r="C63" s="45">
        <v>2418296.75</v>
      </c>
      <c r="D63" s="45">
        <v>264868.34000000003</v>
      </c>
      <c r="E63" s="45">
        <v>2683165.09</v>
      </c>
    </row>
    <row r="64" spans="1:5" x14ac:dyDescent="0.25">
      <c r="A64" s="50" t="s">
        <v>160</v>
      </c>
      <c r="B64" s="50" t="s">
        <v>161</v>
      </c>
      <c r="C64" s="45">
        <v>909559.46</v>
      </c>
      <c r="D64" s="45">
        <v>116614.1</v>
      </c>
      <c r="E64" s="45">
        <v>1026173.56</v>
      </c>
    </row>
    <row r="65" spans="1:5" x14ac:dyDescent="0.25">
      <c r="A65" s="50" t="s">
        <v>162</v>
      </c>
      <c r="B65" s="50" t="s">
        <v>163</v>
      </c>
      <c r="C65" s="45">
        <v>1432558.17</v>
      </c>
      <c r="D65" s="45">
        <v>217267.19</v>
      </c>
      <c r="E65" s="45">
        <v>1649825.36</v>
      </c>
    </row>
    <row r="66" spans="1:5" s="136" customFormat="1" x14ac:dyDescent="0.25">
      <c r="A66" s="135" t="s">
        <v>164</v>
      </c>
      <c r="C66" s="137">
        <f>SUM(C62:C65)</f>
        <v>29633173.759999998</v>
      </c>
      <c r="D66" s="137">
        <f>SUM(D62:D65)</f>
        <v>4071086.61</v>
      </c>
      <c r="E66" s="137">
        <f>SUM(E62:E65)</f>
        <v>33704260.369999997</v>
      </c>
    </row>
    <row r="68" spans="1:5" s="136" customFormat="1" x14ac:dyDescent="0.25">
      <c r="A68" s="135" t="s">
        <v>31</v>
      </c>
      <c r="C68" s="137">
        <f>C14+C20+C26+C32+C38+C44+C46+C54+C60+C66</f>
        <v>-114085611.42759973</v>
      </c>
      <c r="D68" s="137">
        <f>D14+D20+D26+D32+D38+D44+D46+D54+D60+D66</f>
        <v>-16881856.440000072</v>
      </c>
      <c r="E68" s="137">
        <f>E14+E20+E26+E32+E38+E44+E46+E54+E60+E66</f>
        <v>-130967467.86760044</v>
      </c>
    </row>
  </sheetData>
  <phoneticPr fontId="0" type="noConversion"/>
  <pageMargins left="0.75" right="0.75" top="0.75" bottom="0.75" header="0.5" footer="0.5"/>
  <pageSetup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pane ySplit="8" topLeftCell="A36" activePane="bottomLeft" state="frozenSplit"/>
      <selection pane="bottomLeft" activeCell="G45" sqref="G45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6" width="9.109375" style="490"/>
    <col min="7" max="7" width="11.33203125" style="505" bestFit="1" customWidth="1"/>
    <col min="8" max="8" width="12.88671875" style="505" bestFit="1" customWidth="1"/>
    <col min="9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371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372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205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172732523.41</v>
      </c>
      <c r="D9" s="500">
        <v>211192237.66</v>
      </c>
      <c r="E9" s="500">
        <v>383924761.06999999</v>
      </c>
    </row>
    <row r="10" spans="1:5" x14ac:dyDescent="0.25">
      <c r="A10" s="499" t="s">
        <v>94</v>
      </c>
      <c r="B10" s="499" t="s">
        <v>35</v>
      </c>
      <c r="C10" s="501">
        <v>335979828.44999999</v>
      </c>
      <c r="D10" s="501">
        <v>410532929.23000002</v>
      </c>
      <c r="E10" s="501">
        <v>746512757.67999995</v>
      </c>
    </row>
    <row r="11" spans="1:5" x14ac:dyDescent="0.25">
      <c r="A11" s="499" t="s">
        <v>95</v>
      </c>
      <c r="B11" s="499" t="s">
        <v>36</v>
      </c>
      <c r="C11" s="501">
        <v>198342799.68000001</v>
      </c>
      <c r="D11" s="501">
        <v>242660780.80000001</v>
      </c>
      <c r="E11" s="501">
        <v>441003580.48000002</v>
      </c>
    </row>
    <row r="12" spans="1:5" x14ac:dyDescent="0.25">
      <c r="A12" s="499" t="s">
        <v>96</v>
      </c>
      <c r="B12" s="499" t="s">
        <v>37</v>
      </c>
      <c r="C12" s="501">
        <v>9983982.9800000004</v>
      </c>
      <c r="D12" s="501">
        <v>12159101.699999999</v>
      </c>
      <c r="E12" s="501">
        <v>22143084.68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717039134.51999998</v>
      </c>
      <c r="D14" s="504">
        <f>SUM(D9:D13)</f>
        <v>876545049.3900001</v>
      </c>
      <c r="E14" s="504">
        <f>SUM(E9:E13)</f>
        <v>1593584183.9100001</v>
      </c>
    </row>
    <row r="16" spans="1:5" x14ac:dyDescent="0.25">
      <c r="A16" s="499" t="s">
        <v>99</v>
      </c>
      <c r="B16" s="499" t="s">
        <v>100</v>
      </c>
      <c r="C16" s="501">
        <v>151310.64000000001</v>
      </c>
      <c r="D16" s="501">
        <v>103273.75</v>
      </c>
      <c r="E16" s="501">
        <v>254584.39</v>
      </c>
    </row>
    <row r="17" spans="1:5" x14ac:dyDescent="0.25">
      <c r="A17" s="499" t="s">
        <v>101</v>
      </c>
      <c r="B17" s="499" t="s">
        <v>102</v>
      </c>
      <c r="C17" s="501">
        <v>293785.67</v>
      </c>
      <c r="D17" s="501">
        <v>200620.43</v>
      </c>
      <c r="E17" s="501">
        <v>494406.1</v>
      </c>
    </row>
    <row r="18" spans="1:5" x14ac:dyDescent="0.25">
      <c r="A18" s="499" t="s">
        <v>103</v>
      </c>
      <c r="B18" s="499" t="s">
        <v>104</v>
      </c>
      <c r="C18" s="501">
        <v>237657.47</v>
      </c>
      <c r="D18" s="501">
        <v>178422.21</v>
      </c>
      <c r="E18" s="501">
        <v>416079.68</v>
      </c>
    </row>
    <row r="19" spans="1:5" x14ac:dyDescent="0.25">
      <c r="A19" s="499" t="s">
        <v>105</v>
      </c>
      <c r="B19" s="499" t="s">
        <v>106</v>
      </c>
      <c r="C19" s="501">
        <v>8312.7800000000007</v>
      </c>
      <c r="D19" s="501">
        <v>5586.28</v>
      </c>
      <c r="E19" s="501">
        <v>13899.06</v>
      </c>
    </row>
    <row r="20" spans="1:5" x14ac:dyDescent="0.25">
      <c r="A20" s="502" t="s">
        <v>107</v>
      </c>
      <c r="B20" s="503"/>
      <c r="C20" s="504">
        <f>SUM(C16:C19)</f>
        <v>691066.56</v>
      </c>
      <c r="D20" s="504">
        <f>SUM(D16:D19)</f>
        <v>487902.67000000004</v>
      </c>
      <c r="E20" s="504">
        <f>SUM(E16:E19)</f>
        <v>1178969.23</v>
      </c>
    </row>
    <row r="22" spans="1:5" x14ac:dyDescent="0.25">
      <c r="A22" s="499" t="s">
        <v>108</v>
      </c>
      <c r="B22" s="499" t="s">
        <v>109</v>
      </c>
      <c r="C22" s="501">
        <v>64619.22</v>
      </c>
      <c r="D22" s="501">
        <v>-30710.2</v>
      </c>
      <c r="E22" s="501">
        <v>33909.019999999997</v>
      </c>
    </row>
    <row r="23" spans="1:5" x14ac:dyDescent="0.25">
      <c r="A23" s="499" t="s">
        <v>110</v>
      </c>
      <c r="B23" s="499" t="s">
        <v>111</v>
      </c>
      <c r="C23" s="501">
        <v>125591.95</v>
      </c>
      <c r="D23" s="501">
        <v>-59687.35</v>
      </c>
      <c r="E23" s="501">
        <v>65904.600000000006</v>
      </c>
    </row>
    <row r="24" spans="1:5" x14ac:dyDescent="0.25">
      <c r="A24" s="499" t="s">
        <v>112</v>
      </c>
      <c r="B24" s="499" t="s">
        <v>113</v>
      </c>
      <c r="C24" s="501">
        <v>74218.3</v>
      </c>
      <c r="D24" s="501">
        <v>-35272.120000000003</v>
      </c>
      <c r="E24" s="501">
        <v>38946.18</v>
      </c>
    </row>
    <row r="25" spans="1:5" x14ac:dyDescent="0.25">
      <c r="A25" s="499" t="s">
        <v>114</v>
      </c>
      <c r="B25" s="499" t="s">
        <v>115</v>
      </c>
      <c r="C25" s="501">
        <v>3700.13</v>
      </c>
      <c r="D25" s="501">
        <v>-1758.56</v>
      </c>
      <c r="E25" s="501">
        <v>1941.57</v>
      </c>
    </row>
    <row r="26" spans="1:5" x14ac:dyDescent="0.25">
      <c r="A26" s="502" t="s">
        <v>116</v>
      </c>
      <c r="B26" s="503"/>
      <c r="C26" s="504">
        <f>SUM(C22:C25)</f>
        <v>268129.59999999998</v>
      </c>
      <c r="D26" s="504">
        <f>SUM(D22:D25)</f>
        <v>-127428.23000000001</v>
      </c>
      <c r="E26" s="504">
        <f>SUM(E22:E25)</f>
        <v>140701.37</v>
      </c>
    </row>
    <row r="28" spans="1:5" x14ac:dyDescent="0.25">
      <c r="A28" s="499" t="s">
        <v>117</v>
      </c>
      <c r="B28" s="499" t="s">
        <v>118</v>
      </c>
      <c r="C28" s="501">
        <v>978.44</v>
      </c>
      <c r="D28" s="501">
        <v>241</v>
      </c>
      <c r="E28" s="501">
        <v>1219.44</v>
      </c>
    </row>
    <row r="29" spans="1:5" x14ac:dyDescent="0.25">
      <c r="A29" s="499" t="s">
        <v>119</v>
      </c>
      <c r="B29" s="499" t="s">
        <v>120</v>
      </c>
      <c r="C29" s="501">
        <v>1901.66</v>
      </c>
      <c r="D29" s="501">
        <v>468.4</v>
      </c>
      <c r="E29" s="501">
        <v>2370.06</v>
      </c>
    </row>
    <row r="30" spans="1:5" x14ac:dyDescent="0.25">
      <c r="A30" s="499" t="s">
        <v>121</v>
      </c>
      <c r="B30" s="499" t="s">
        <v>122</v>
      </c>
      <c r="C30" s="501">
        <v>1123.78</v>
      </c>
      <c r="D30" s="501">
        <v>276.8</v>
      </c>
      <c r="E30" s="501">
        <v>1400.58</v>
      </c>
    </row>
    <row r="31" spans="1:5" x14ac:dyDescent="0.25">
      <c r="A31" s="499" t="s">
        <v>123</v>
      </c>
      <c r="B31" s="499" t="s">
        <v>124</v>
      </c>
      <c r="C31" s="501">
        <v>56.03</v>
      </c>
      <c r="D31" s="501">
        <v>13.8</v>
      </c>
      <c r="E31" s="501">
        <v>69.83</v>
      </c>
    </row>
    <row r="32" spans="1:5" x14ac:dyDescent="0.25">
      <c r="A32" s="502" t="s">
        <v>125</v>
      </c>
      <c r="B32" s="503"/>
      <c r="C32" s="504">
        <f>SUM(C28:C31)</f>
        <v>4059.9100000000003</v>
      </c>
      <c r="D32" s="504">
        <f>SUM(D28:D31)</f>
        <v>1000</v>
      </c>
      <c r="E32" s="504">
        <f>SUM(E28:E31)</f>
        <v>5059.91</v>
      </c>
    </row>
    <row r="34" spans="1:8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8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8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8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8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8" x14ac:dyDescent="0.25">
      <c r="A40" s="499" t="s">
        <v>126</v>
      </c>
      <c r="B40" s="499" t="s">
        <v>347</v>
      </c>
      <c r="C40" s="501">
        <v>-112309.29</v>
      </c>
      <c r="D40" s="501">
        <v>-109227.53</v>
      </c>
      <c r="E40" s="501">
        <v>-221536.82</v>
      </c>
      <c r="G40" s="505">
        <f>+[8]Report!$F$300+[8]Report!$F$319</f>
        <v>102073.38</v>
      </c>
      <c r="H40" s="505">
        <f>+[8]Report!$G$300+[8]Report!$G$319</f>
        <v>214382.67</v>
      </c>
    </row>
    <row r="41" spans="1:8" x14ac:dyDescent="0.25">
      <c r="A41" s="499" t="s">
        <v>128</v>
      </c>
      <c r="B41" s="499" t="s">
        <v>348</v>
      </c>
      <c r="C41" s="501">
        <v>-8094610.0099999998</v>
      </c>
      <c r="D41" s="501">
        <v>-212291.17</v>
      </c>
      <c r="E41" s="501">
        <v>-8306901.1799999997</v>
      </c>
      <c r="G41" s="505">
        <f>+[8]Report!$F$301+[8]Report!$F$321</f>
        <v>198386.6</v>
      </c>
      <c r="H41" s="505">
        <f>+[8]Report!$G$301+[8]Report!$G$321</f>
        <v>8292996.6099999994</v>
      </c>
    </row>
    <row r="42" spans="1:8" x14ac:dyDescent="0.25">
      <c r="A42" s="499" t="s">
        <v>130</v>
      </c>
      <c r="B42" s="499" t="s">
        <v>349</v>
      </c>
      <c r="C42" s="501">
        <v>-129095.99</v>
      </c>
      <c r="D42" s="501">
        <v>-125453.03</v>
      </c>
      <c r="E42" s="501">
        <v>-254549.02</v>
      </c>
      <c r="G42" s="505">
        <f>+[8]Report!$F$302+[8]Report!$F$322</f>
        <v>117236.15</v>
      </c>
      <c r="H42" s="505">
        <f>+[8]Report!$G$302+[8]Report!$G$322</f>
        <v>246332.13999999998</v>
      </c>
    </row>
    <row r="43" spans="1:8" x14ac:dyDescent="0.25">
      <c r="A43" s="499" t="s">
        <v>132</v>
      </c>
      <c r="B43" s="499" t="s">
        <v>350</v>
      </c>
      <c r="C43" s="501">
        <v>-6432.03</v>
      </c>
      <c r="D43" s="501">
        <v>-6254.53</v>
      </c>
      <c r="E43" s="501">
        <v>-12686.56</v>
      </c>
      <c r="G43" s="505">
        <f>+[8]Report!$F$303+[8]Report!$F$323</f>
        <v>5844.87</v>
      </c>
      <c r="H43" s="505">
        <f>+[8]Report!$G$303+[8]Report!$G$323</f>
        <v>12276.9</v>
      </c>
    </row>
    <row r="44" spans="1:8" x14ac:dyDescent="0.25">
      <c r="A44" s="502" t="s">
        <v>134</v>
      </c>
      <c r="B44" s="503"/>
      <c r="C44" s="504">
        <f>SUM(C40:C43)</f>
        <v>-8342447.3200000003</v>
      </c>
      <c r="D44" s="504">
        <f>SUM(D40:D43)</f>
        <v>-453226.26</v>
      </c>
      <c r="E44" s="504">
        <f>SUM(E40:E43)</f>
        <v>-8795673.5800000001</v>
      </c>
      <c r="G44" s="505">
        <f>SUM(G40:G43)</f>
        <v>423541</v>
      </c>
      <c r="H44" s="505">
        <f>SUM(H40:H43)</f>
        <v>8765988.3200000003</v>
      </c>
    </row>
    <row r="45" spans="1:8" x14ac:dyDescent="0.25">
      <c r="G45" s="505">
        <f>+D44+G44</f>
        <v>-29685.260000000009</v>
      </c>
      <c r="H45" s="505">
        <f>+E44+H44</f>
        <v>-29685.259999999776</v>
      </c>
    </row>
    <row r="46" spans="1:8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8" x14ac:dyDescent="0.25">
      <c r="A47" s="499" t="s">
        <v>328</v>
      </c>
      <c r="B47" s="499" t="s">
        <v>329</v>
      </c>
      <c r="C47" s="501">
        <v>-2414846</v>
      </c>
      <c r="D47" s="501">
        <v>-9394050</v>
      </c>
      <c r="E47" s="501">
        <v>-11808896</v>
      </c>
    </row>
    <row r="48" spans="1:8" x14ac:dyDescent="0.25">
      <c r="A48" s="499" t="s">
        <v>330</v>
      </c>
      <c r="B48" s="499" t="s">
        <v>331</v>
      </c>
      <c r="C48" s="501">
        <v>-606676</v>
      </c>
      <c r="D48" s="501">
        <v>91716431</v>
      </c>
      <c r="E48" s="501">
        <v>91109755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-3021522</v>
      </c>
      <c r="D50" s="504">
        <f>SUM(D46:D49)</f>
        <v>82322381</v>
      </c>
      <c r="E50" s="504">
        <f>SUM(E46:E49)</f>
        <v>79300859</v>
      </c>
    </row>
    <row r="52" spans="1:5" x14ac:dyDescent="0.25">
      <c r="A52" s="499" t="s">
        <v>135</v>
      </c>
      <c r="B52" s="499" t="s">
        <v>136</v>
      </c>
      <c r="C52" s="501">
        <v>-316035230.81</v>
      </c>
      <c r="D52" s="501">
        <v>-125443588.8</v>
      </c>
      <c r="E52" s="501">
        <v>-441478819.61000001</v>
      </c>
    </row>
    <row r="53" spans="1:5" x14ac:dyDescent="0.25">
      <c r="A53" s="499" t="s">
        <v>137</v>
      </c>
      <c r="B53" s="499" t="s">
        <v>138</v>
      </c>
      <c r="C53" s="501">
        <v>-339423775</v>
      </c>
      <c r="D53" s="501">
        <v>-363477687.88</v>
      </c>
      <c r="E53" s="501">
        <v>-702901462.88</v>
      </c>
    </row>
    <row r="54" spans="1:5" x14ac:dyDescent="0.25">
      <c r="A54" s="499" t="s">
        <v>139</v>
      </c>
      <c r="B54" s="499" t="s">
        <v>140</v>
      </c>
      <c r="C54" s="501">
        <v>-255616281</v>
      </c>
      <c r="D54" s="501">
        <v>-166678410</v>
      </c>
      <c r="E54" s="501">
        <v>-422294691</v>
      </c>
    </row>
    <row r="55" spans="1:5" x14ac:dyDescent="0.25">
      <c r="A55" s="499" t="s">
        <v>141</v>
      </c>
      <c r="B55" s="499" t="s">
        <v>142</v>
      </c>
      <c r="C55" s="501">
        <v>-9441381.7200000007</v>
      </c>
      <c r="D55" s="501">
        <v>-10407080.85</v>
      </c>
      <c r="E55" s="501">
        <v>-19848462.57</v>
      </c>
    </row>
    <row r="56" spans="1:5" x14ac:dyDescent="0.25">
      <c r="A56" s="502" t="s">
        <v>143</v>
      </c>
      <c r="B56" s="503"/>
      <c r="C56" s="504">
        <f>SUM(C52:C55)</f>
        <v>-920516668.52999997</v>
      </c>
      <c r="D56" s="504">
        <f>SUM(D52:D55)</f>
        <v>-666006767.53000009</v>
      </c>
      <c r="E56" s="504">
        <f>SUM(E52:E55)</f>
        <v>-1586523436.0599999</v>
      </c>
    </row>
    <row r="58" spans="1:5" x14ac:dyDescent="0.25">
      <c r="A58" s="499" t="s">
        <v>351</v>
      </c>
      <c r="B58" s="499" t="s">
        <v>352</v>
      </c>
      <c r="C58" s="501">
        <v>6891229.9900000002</v>
      </c>
      <c r="D58" s="501">
        <v>297075.15999999997</v>
      </c>
      <c r="E58" s="501">
        <v>7188305.1500000004</v>
      </c>
    </row>
    <row r="59" spans="1:5" x14ac:dyDescent="0.25">
      <c r="A59" s="499" t="s">
        <v>353</v>
      </c>
      <c r="B59" s="499" t="s">
        <v>354</v>
      </c>
      <c r="C59" s="501">
        <v>0</v>
      </c>
      <c r="D59" s="501">
        <v>0</v>
      </c>
      <c r="E59" s="501">
        <v>0</v>
      </c>
    </row>
    <row r="60" spans="1:5" x14ac:dyDescent="0.25">
      <c r="C60" s="501">
        <f>SUM(C58:C59)</f>
        <v>6891229.9900000002</v>
      </c>
      <c r="D60" s="501">
        <f>SUM(D58:D59)</f>
        <v>297075.15999999997</v>
      </c>
      <c r="E60" s="501">
        <f>SUM(E58:E59)</f>
        <v>7188305.1500000004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-6545008.0999999996</v>
      </c>
      <c r="D72" s="501">
        <v>-5333583.5999999996</v>
      </c>
      <c r="E72" s="501">
        <v>-11878591.699999999</v>
      </c>
    </row>
    <row r="73" spans="1:5" x14ac:dyDescent="0.25">
      <c r="A73" s="499" t="s">
        <v>152</v>
      </c>
      <c r="B73" s="499" t="s">
        <v>41</v>
      </c>
      <c r="C73" s="501">
        <v>-1744252.72</v>
      </c>
      <c r="D73" s="501">
        <v>-1555207.84</v>
      </c>
      <c r="E73" s="501">
        <v>-3299460.56</v>
      </c>
    </row>
    <row r="74" spans="1:5" x14ac:dyDescent="0.25">
      <c r="A74" s="499" t="s">
        <v>153</v>
      </c>
      <c r="B74" s="499" t="s">
        <v>42</v>
      </c>
      <c r="C74" s="501">
        <v>-831637.86</v>
      </c>
      <c r="D74" s="501">
        <v>-707264.39</v>
      </c>
      <c r="E74" s="501">
        <v>-1538902.25</v>
      </c>
    </row>
    <row r="75" spans="1:5" x14ac:dyDescent="0.25">
      <c r="A75" s="499" t="s">
        <v>154</v>
      </c>
      <c r="B75" s="499" t="s">
        <v>43</v>
      </c>
      <c r="C75" s="501">
        <v>-1919275.35</v>
      </c>
      <c r="D75" s="501">
        <v>-1065987.93</v>
      </c>
      <c r="E75" s="501">
        <v>-2985263.28</v>
      </c>
    </row>
    <row r="76" spans="1:5" x14ac:dyDescent="0.25">
      <c r="A76" s="502" t="s">
        <v>155</v>
      </c>
      <c r="B76" s="503"/>
      <c r="C76" s="504">
        <f>SUM(C72:C75)</f>
        <v>-11040174.029999999</v>
      </c>
      <c r="D76" s="504">
        <f>SUM(D72:D75)</f>
        <v>-8662043.7599999998</v>
      </c>
      <c r="E76" s="504">
        <f>SUM(E72:E75)</f>
        <v>-19702217.789999999</v>
      </c>
    </row>
    <row r="78" spans="1:5" x14ac:dyDescent="0.25">
      <c r="A78" s="499" t="s">
        <v>156</v>
      </c>
      <c r="B78" s="499" t="s">
        <v>157</v>
      </c>
      <c r="C78" s="501">
        <v>1432964.12</v>
      </c>
      <c r="D78" s="501">
        <v>1416507.72</v>
      </c>
      <c r="E78" s="501">
        <v>2849471.84</v>
      </c>
    </row>
    <row r="79" spans="1:5" x14ac:dyDescent="0.25">
      <c r="A79" s="499" t="s">
        <v>158</v>
      </c>
      <c r="B79" s="499" t="s">
        <v>159</v>
      </c>
      <c r="C79" s="501">
        <v>505119</v>
      </c>
      <c r="D79" s="501">
        <v>501504.77</v>
      </c>
      <c r="E79" s="501">
        <v>1006623.77</v>
      </c>
    </row>
    <row r="80" spans="1:5" x14ac:dyDescent="0.25">
      <c r="A80" s="499" t="s">
        <v>160</v>
      </c>
      <c r="B80" s="499" t="s">
        <v>161</v>
      </c>
      <c r="C80" s="501">
        <v>74740.960000000006</v>
      </c>
      <c r="D80" s="501">
        <v>75799.28</v>
      </c>
      <c r="E80" s="501">
        <v>150540.24</v>
      </c>
    </row>
    <row r="81" spans="1:5" x14ac:dyDescent="0.25">
      <c r="A81" s="499" t="s">
        <v>162</v>
      </c>
      <c r="B81" s="499" t="s">
        <v>163</v>
      </c>
      <c r="C81" s="501">
        <v>210445.25</v>
      </c>
      <c r="D81" s="501">
        <v>207903.35</v>
      </c>
      <c r="E81" s="501">
        <v>418348.6</v>
      </c>
    </row>
    <row r="82" spans="1:5" x14ac:dyDescent="0.25">
      <c r="A82" s="502" t="s">
        <v>164</v>
      </c>
      <c r="B82" s="503"/>
      <c r="C82" s="504">
        <f>SUM(C78:C81)</f>
        <v>2223269.33</v>
      </c>
      <c r="D82" s="504">
        <f>SUM(D78:D81)</f>
        <v>2201715.12</v>
      </c>
      <c r="E82" s="504">
        <f>SUM(E78:E81)</f>
        <v>4424984.4499999993</v>
      </c>
    </row>
    <row r="84" spans="1:5" x14ac:dyDescent="0.25">
      <c r="A84" s="502" t="s">
        <v>31</v>
      </c>
      <c r="B84" s="503"/>
      <c r="C84" s="504">
        <f>C14+C20+C26+C32+C44+C56+C62+C70+C76+C82+C50+C38+C60</f>
        <v>-215803921.97000009</v>
      </c>
      <c r="D84" s="504">
        <f>D14+D20+D26+D32+D44+D56+D62+D70+D76+D82+D50+D38+D60</f>
        <v>286605657.56</v>
      </c>
      <c r="E84" s="504">
        <f>E14+E20+E26+E32+E44+E56+E62+E70+E76+E82+E50+E38+E60</f>
        <v>70801735.590000212</v>
      </c>
    </row>
  </sheetData>
  <pageMargins left="0.75" right="0.75" top="0.75" bottom="0.75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2" activePane="bottomLeft" state="frozenSplit"/>
      <selection pane="bottomLeft" activeCell="D40" sqref="D40"/>
    </sheetView>
  </sheetViews>
  <sheetFormatPr defaultColWidth="9.109375" defaultRowHeight="13.2" x14ac:dyDescent="0.25"/>
  <cols>
    <col min="1" max="1" width="30.6640625" style="93" customWidth="1"/>
    <col min="2" max="2" width="33.6640625" style="93" customWidth="1"/>
    <col min="3" max="5" width="22.6640625" style="45" customWidth="1"/>
    <col min="6" max="16384" width="9.109375" style="93"/>
  </cols>
  <sheetData>
    <row r="1" spans="1:5" s="49" customFormat="1" x14ac:dyDescent="0.25">
      <c r="A1" s="112" t="s">
        <v>53</v>
      </c>
      <c r="B1" s="113"/>
      <c r="C1" s="113"/>
      <c r="D1" s="113"/>
      <c r="E1" s="113"/>
    </row>
    <row r="2" spans="1:5" s="49" customFormat="1" x14ac:dyDescent="0.25">
      <c r="A2" s="114" t="s">
        <v>86</v>
      </c>
      <c r="B2" s="115"/>
      <c r="C2" s="115"/>
      <c r="D2" s="115"/>
      <c r="E2" s="115"/>
    </row>
    <row r="3" spans="1:5" s="49" customFormat="1" x14ac:dyDescent="0.25">
      <c r="A3" s="112" t="s">
        <v>165</v>
      </c>
      <c r="B3" s="113"/>
      <c r="C3" s="113"/>
      <c r="D3" s="113"/>
      <c r="E3" s="113"/>
    </row>
    <row r="4" spans="1:5" s="49" customFormat="1" x14ac:dyDescent="0.25">
      <c r="A4" s="116" t="s">
        <v>88</v>
      </c>
      <c r="B4" s="117"/>
      <c r="C4" s="117"/>
      <c r="D4" s="117"/>
      <c r="E4" s="117"/>
    </row>
    <row r="5" spans="1:5" s="49" customFormat="1" x14ac:dyDescent="0.25">
      <c r="A5" s="47" t="s">
        <v>166</v>
      </c>
      <c r="B5" s="48"/>
      <c r="C5" s="48"/>
      <c r="D5" s="48"/>
      <c r="E5" s="48"/>
    </row>
    <row r="6" spans="1:5" s="49" customFormat="1" x14ac:dyDescent="0.25"/>
    <row r="7" spans="1:5" s="49" customFormat="1" x14ac:dyDescent="0.25">
      <c r="B7" s="69" t="s">
        <v>30</v>
      </c>
      <c r="C7" s="69" t="s">
        <v>90</v>
      </c>
      <c r="D7" s="69" t="s">
        <v>167</v>
      </c>
      <c r="E7" s="69" t="s">
        <v>92</v>
      </c>
    </row>
    <row r="8" spans="1:5" s="49" customFormat="1" x14ac:dyDescent="0.25"/>
    <row r="9" spans="1:5" x14ac:dyDescent="0.25">
      <c r="A9" s="50" t="s">
        <v>93</v>
      </c>
      <c r="B9" s="50" t="s">
        <v>34</v>
      </c>
      <c r="C9" s="51">
        <v>564480117.89999998</v>
      </c>
      <c r="D9" s="51">
        <v>167315821.25</v>
      </c>
      <c r="E9" s="51">
        <v>731795939.14999998</v>
      </c>
    </row>
    <row r="10" spans="1:5" x14ac:dyDescent="0.25">
      <c r="A10" s="50" t="s">
        <v>94</v>
      </c>
      <c r="B10" s="50" t="s">
        <v>35</v>
      </c>
      <c r="C10" s="45">
        <v>1114754151.54</v>
      </c>
      <c r="D10" s="45">
        <v>303173864.76999998</v>
      </c>
      <c r="E10" s="45">
        <v>1417928016.3099999</v>
      </c>
    </row>
    <row r="11" spans="1:5" x14ac:dyDescent="0.25">
      <c r="A11" s="50" t="s">
        <v>95</v>
      </c>
      <c r="B11" s="50" t="s">
        <v>36</v>
      </c>
      <c r="C11" s="45">
        <v>199396605.25</v>
      </c>
      <c r="D11" s="45">
        <v>62855169.490000002</v>
      </c>
      <c r="E11" s="45">
        <v>262251774.74000001</v>
      </c>
    </row>
    <row r="12" spans="1:5" x14ac:dyDescent="0.25">
      <c r="A12" s="50" t="s">
        <v>96</v>
      </c>
      <c r="B12" s="50" t="s">
        <v>37</v>
      </c>
      <c r="C12" s="45">
        <v>37649533.219999999</v>
      </c>
      <c r="D12" s="45">
        <v>10701842.99</v>
      </c>
      <c r="E12" s="45">
        <v>48351376.210000001</v>
      </c>
    </row>
    <row r="13" spans="1:5" x14ac:dyDescent="0.25">
      <c r="A13" s="50" t="s">
        <v>97</v>
      </c>
      <c r="B13" s="50" t="s">
        <v>38</v>
      </c>
      <c r="C13" s="45">
        <v>0</v>
      </c>
      <c r="D13" s="45">
        <v>0</v>
      </c>
      <c r="E13" s="45">
        <v>0</v>
      </c>
    </row>
    <row r="14" spans="1:5" s="119" customFormat="1" x14ac:dyDescent="0.25">
      <c r="A14" s="118" t="s">
        <v>98</v>
      </c>
      <c r="C14" s="120">
        <f>SUM(C9:C13)</f>
        <v>1916280407.9100001</v>
      </c>
      <c r="D14" s="120">
        <f>SUM(D9:D13)</f>
        <v>544046698.5</v>
      </c>
      <c r="E14" s="120">
        <f>SUM(E9:E13)</f>
        <v>2460327106.4099998</v>
      </c>
    </row>
    <row r="16" spans="1:5" x14ac:dyDescent="0.25">
      <c r="A16" s="50" t="s">
        <v>99</v>
      </c>
      <c r="B16" s="50" t="s">
        <v>100</v>
      </c>
      <c r="C16" s="45">
        <v>408430.82</v>
      </c>
      <c r="D16" s="45">
        <v>121813.73</v>
      </c>
      <c r="E16" s="45">
        <v>530244.55000000005</v>
      </c>
    </row>
    <row r="17" spans="1:5" x14ac:dyDescent="0.25">
      <c r="A17" s="50" t="s">
        <v>101</v>
      </c>
      <c r="B17" s="50" t="s">
        <v>102</v>
      </c>
      <c r="C17" s="45">
        <v>827656.05</v>
      </c>
      <c r="D17" s="45">
        <v>221344.8</v>
      </c>
      <c r="E17" s="45">
        <v>1049000.8500000001</v>
      </c>
    </row>
    <row r="18" spans="1:5" x14ac:dyDescent="0.25">
      <c r="A18" s="50" t="s">
        <v>103</v>
      </c>
      <c r="B18" s="50" t="s">
        <v>104</v>
      </c>
      <c r="C18" s="45">
        <v>148199.44</v>
      </c>
      <c r="D18" s="45">
        <v>45694.98</v>
      </c>
      <c r="E18" s="45">
        <v>193894.42</v>
      </c>
    </row>
    <row r="19" spans="1:5" x14ac:dyDescent="0.25">
      <c r="A19" s="50" t="s">
        <v>105</v>
      </c>
      <c r="B19" s="50" t="s">
        <v>106</v>
      </c>
      <c r="C19" s="45">
        <v>38569.9</v>
      </c>
      <c r="D19" s="45">
        <v>7968.83</v>
      </c>
      <c r="E19" s="45">
        <v>46538.73</v>
      </c>
    </row>
    <row r="20" spans="1:5" s="119" customFormat="1" x14ac:dyDescent="0.25">
      <c r="A20" s="118" t="s">
        <v>107</v>
      </c>
      <c r="C20" s="120">
        <f>SUM(C16:C19)</f>
        <v>1422856.21</v>
      </c>
      <c r="D20" s="120">
        <f>SUM(D16:D19)</f>
        <v>396822.33999999997</v>
      </c>
      <c r="E20" s="120">
        <f>SUM(E16:E19)</f>
        <v>1819678.55</v>
      </c>
    </row>
    <row r="22" spans="1:5" x14ac:dyDescent="0.25">
      <c r="A22" s="50" t="s">
        <v>108</v>
      </c>
      <c r="B22" s="50" t="s">
        <v>109</v>
      </c>
      <c r="C22" s="45">
        <v>175924.59</v>
      </c>
      <c r="D22" s="45">
        <v>66747.02</v>
      </c>
      <c r="E22" s="45">
        <v>242671.61</v>
      </c>
    </row>
    <row r="23" spans="1:5" x14ac:dyDescent="0.25">
      <c r="A23" s="50" t="s">
        <v>110</v>
      </c>
      <c r="B23" s="50" t="s">
        <v>111</v>
      </c>
      <c r="C23" s="45">
        <v>356816.16</v>
      </c>
      <c r="D23" s="45">
        <v>120886.79</v>
      </c>
      <c r="E23" s="45">
        <v>477702.95</v>
      </c>
    </row>
    <row r="24" spans="1:5" x14ac:dyDescent="0.25">
      <c r="A24" s="50" t="s">
        <v>112</v>
      </c>
      <c r="B24" s="50" t="s">
        <v>113</v>
      </c>
      <c r="C24" s="45">
        <v>63771.96</v>
      </c>
      <c r="D24" s="45">
        <v>25062.639999999999</v>
      </c>
      <c r="E24" s="45">
        <v>88834.6</v>
      </c>
    </row>
    <row r="25" spans="1:5" x14ac:dyDescent="0.25">
      <c r="A25" s="50" t="s">
        <v>114</v>
      </c>
      <c r="B25" s="50" t="s">
        <v>115</v>
      </c>
      <c r="C25" s="45">
        <v>16678.77</v>
      </c>
      <c r="D25" s="45">
        <v>4296.5824000000002</v>
      </c>
      <c r="E25" s="45">
        <v>20975.3524</v>
      </c>
    </row>
    <row r="26" spans="1:5" s="119" customFormat="1" x14ac:dyDescent="0.25">
      <c r="A26" s="118" t="s">
        <v>116</v>
      </c>
      <c r="C26" s="120">
        <f>SUM(C22:C25)</f>
        <v>613191.48</v>
      </c>
      <c r="D26" s="120">
        <f>SUM(D22:D25)</f>
        <v>216993.03240000003</v>
      </c>
      <c r="E26" s="120">
        <f>SUM(E22:E25)</f>
        <v>830184.51240000001</v>
      </c>
    </row>
    <row r="28" spans="1:5" x14ac:dyDescent="0.25">
      <c r="A28" s="50" t="s">
        <v>117</v>
      </c>
      <c r="B28" s="50" t="s">
        <v>118</v>
      </c>
      <c r="C28" s="45">
        <v>0</v>
      </c>
      <c r="D28" s="45">
        <v>0</v>
      </c>
      <c r="E28" s="45">
        <v>0</v>
      </c>
    </row>
    <row r="29" spans="1:5" x14ac:dyDescent="0.25">
      <c r="A29" s="50" t="s">
        <v>119</v>
      </c>
      <c r="B29" s="50" t="s">
        <v>120</v>
      </c>
      <c r="C29" s="45">
        <v>0</v>
      </c>
      <c r="D29" s="45">
        <v>0</v>
      </c>
      <c r="E29" s="45">
        <v>0</v>
      </c>
    </row>
    <row r="30" spans="1:5" x14ac:dyDescent="0.25">
      <c r="A30" s="50" t="s">
        <v>121</v>
      </c>
      <c r="B30" s="50" t="s">
        <v>122</v>
      </c>
      <c r="C30" s="45">
        <v>0</v>
      </c>
      <c r="D30" s="45">
        <v>0</v>
      </c>
      <c r="E30" s="45">
        <v>0</v>
      </c>
    </row>
    <row r="31" spans="1:5" x14ac:dyDescent="0.25">
      <c r="A31" s="50" t="s">
        <v>123</v>
      </c>
      <c r="B31" s="50" t="s">
        <v>124</v>
      </c>
      <c r="C31" s="45">
        <v>0</v>
      </c>
      <c r="D31" s="45">
        <v>0</v>
      </c>
      <c r="E31" s="45">
        <v>0</v>
      </c>
    </row>
    <row r="32" spans="1:5" s="119" customFormat="1" x14ac:dyDescent="0.25">
      <c r="A32" s="118" t="s">
        <v>125</v>
      </c>
      <c r="C32" s="120">
        <f>SUM(C28:C31)</f>
        <v>0</v>
      </c>
      <c r="D32" s="120">
        <f>SUM(D28:D31)</f>
        <v>0</v>
      </c>
      <c r="E32" s="120">
        <f>SUM(E28:E31)</f>
        <v>0</v>
      </c>
    </row>
    <row r="34" spans="1:5" x14ac:dyDescent="0.25">
      <c r="A34" s="50" t="s">
        <v>126</v>
      </c>
      <c r="B34" s="50" t="s">
        <v>127</v>
      </c>
      <c r="C34" s="45">
        <v>-3950182.25</v>
      </c>
      <c r="D34" s="45">
        <v>2026936.23</v>
      </c>
      <c r="E34" s="45">
        <v>-1923246.02</v>
      </c>
    </row>
    <row r="35" spans="1:5" x14ac:dyDescent="0.25">
      <c r="A35" s="50" t="s">
        <v>128</v>
      </c>
      <c r="B35" s="50" t="s">
        <v>129</v>
      </c>
      <c r="C35" s="45">
        <v>2608684.63</v>
      </c>
      <c r="D35" s="45">
        <v>615372.06000000006</v>
      </c>
      <c r="E35" s="45">
        <v>3224056.69</v>
      </c>
    </row>
    <row r="36" spans="1:5" x14ac:dyDescent="0.25">
      <c r="A36" s="50" t="s">
        <v>130</v>
      </c>
      <c r="B36" s="50" t="s">
        <v>131</v>
      </c>
      <c r="C36" s="45">
        <v>465722.47</v>
      </c>
      <c r="D36" s="45">
        <v>107917.08</v>
      </c>
      <c r="E36" s="45">
        <v>573639.55000000005</v>
      </c>
    </row>
    <row r="37" spans="1:5" x14ac:dyDescent="0.25">
      <c r="A37" s="50" t="s">
        <v>132</v>
      </c>
      <c r="B37" s="50" t="s">
        <v>133</v>
      </c>
      <c r="C37" s="45">
        <v>121329.88</v>
      </c>
      <c r="D37" s="45">
        <v>24593.88</v>
      </c>
      <c r="E37" s="45">
        <v>145923.76</v>
      </c>
    </row>
    <row r="38" spans="1:5" s="119" customFormat="1" x14ac:dyDescent="0.25">
      <c r="A38" s="118" t="s">
        <v>134</v>
      </c>
      <c r="C38" s="120">
        <f>SUM(C34:C37)</f>
        <v>-754445.27000000014</v>
      </c>
      <c r="D38" s="120">
        <f>SUM(D34:D37)</f>
        <v>2774819.25</v>
      </c>
      <c r="E38" s="120">
        <f>SUM(E34:E37)</f>
        <v>2020373.98</v>
      </c>
    </row>
    <row r="40" spans="1:5" x14ac:dyDescent="0.25">
      <c r="A40" s="50" t="s">
        <v>135</v>
      </c>
      <c r="B40" s="50" t="s">
        <v>136</v>
      </c>
      <c r="C40" s="45">
        <v>-565078276.22000003</v>
      </c>
      <c r="D40" s="45">
        <v>-157219239.66999999</v>
      </c>
      <c r="E40" s="45">
        <v>-722297515.88999999</v>
      </c>
    </row>
    <row r="41" spans="1:5" x14ac:dyDescent="0.25">
      <c r="A41" s="50" t="s">
        <v>137</v>
      </c>
      <c r="B41" s="50" t="s">
        <v>138</v>
      </c>
      <c r="C41" s="45">
        <v>-1174836249.77</v>
      </c>
      <c r="D41" s="45">
        <v>-396485797.13</v>
      </c>
      <c r="E41" s="45">
        <v>-1571322046.9000001</v>
      </c>
    </row>
    <row r="42" spans="1:5" x14ac:dyDescent="0.25">
      <c r="A42" s="50" t="s">
        <v>139</v>
      </c>
      <c r="B42" s="50" t="s">
        <v>140</v>
      </c>
      <c r="C42" s="45">
        <v>-202418122.37</v>
      </c>
      <c r="D42" s="45">
        <v>-69625835.930000007</v>
      </c>
      <c r="E42" s="45">
        <v>-272043958.30000001</v>
      </c>
    </row>
    <row r="43" spans="1:5" x14ac:dyDescent="0.25">
      <c r="A43" s="50" t="s">
        <v>141</v>
      </c>
      <c r="B43" s="50" t="s">
        <v>142</v>
      </c>
      <c r="C43" s="45">
        <v>-5774340.2300000004</v>
      </c>
      <c r="D43" s="45">
        <v>-5341942.51</v>
      </c>
      <c r="E43" s="45">
        <v>-11116282.74</v>
      </c>
    </row>
    <row r="44" spans="1:5" s="119" customFormat="1" x14ac:dyDescent="0.25">
      <c r="A44" s="118" t="s">
        <v>143</v>
      </c>
      <c r="C44" s="120">
        <f>SUM(C40:C43)</f>
        <v>-1948106988.5900002</v>
      </c>
      <c r="D44" s="120">
        <f>SUM(D40:D43)</f>
        <v>-628672815.24000001</v>
      </c>
      <c r="E44" s="120">
        <f>SUM(E40:E43)</f>
        <v>-2576779803.8299999</v>
      </c>
    </row>
    <row r="46" spans="1:5" s="119" customFormat="1" x14ac:dyDescent="0.25">
      <c r="A46" s="118" t="s">
        <v>144</v>
      </c>
      <c r="B46" s="118" t="s">
        <v>39</v>
      </c>
      <c r="C46" s="120">
        <v>0</v>
      </c>
      <c r="D46" s="120">
        <v>0</v>
      </c>
      <c r="E46" s="120">
        <v>0</v>
      </c>
    </row>
    <row r="47" spans="1:5" x14ac:dyDescent="0.25">
      <c r="A47" s="50" t="s">
        <v>145</v>
      </c>
    </row>
    <row r="50" spans="1:5" x14ac:dyDescent="0.25">
      <c r="A50" s="50" t="s">
        <v>146</v>
      </c>
      <c r="B50" s="50" t="s">
        <v>80</v>
      </c>
      <c r="C50" s="45">
        <v>0</v>
      </c>
      <c r="D50" s="45">
        <v>0</v>
      </c>
      <c r="E50" s="45">
        <v>0</v>
      </c>
    </row>
    <row r="51" spans="1:5" x14ac:dyDescent="0.25">
      <c r="A51" s="50" t="s">
        <v>147</v>
      </c>
      <c r="B51" s="50" t="s">
        <v>81</v>
      </c>
      <c r="C51" s="45">
        <v>0</v>
      </c>
      <c r="D51" s="45">
        <v>0</v>
      </c>
      <c r="E51" s="45">
        <v>0</v>
      </c>
    </row>
    <row r="52" spans="1:5" x14ac:dyDescent="0.25">
      <c r="A52" s="50" t="s">
        <v>148</v>
      </c>
      <c r="B52" s="50" t="s">
        <v>82</v>
      </c>
      <c r="C52" s="45">
        <v>0</v>
      </c>
      <c r="D52" s="45">
        <v>0</v>
      </c>
      <c r="E52" s="45">
        <v>0</v>
      </c>
    </row>
    <row r="53" spans="1:5" x14ac:dyDescent="0.25">
      <c r="A53" s="50" t="s">
        <v>149</v>
      </c>
      <c r="B53" s="50" t="s">
        <v>83</v>
      </c>
      <c r="C53" s="45">
        <v>0</v>
      </c>
      <c r="D53" s="45">
        <v>0</v>
      </c>
      <c r="E53" s="45">
        <v>0</v>
      </c>
    </row>
    <row r="54" spans="1:5" s="119" customFormat="1" x14ac:dyDescent="0.25">
      <c r="A54" s="118" t="s">
        <v>150</v>
      </c>
      <c r="C54" s="120">
        <f>SUM(C50:C53)</f>
        <v>0</v>
      </c>
      <c r="D54" s="120">
        <f>SUM(D50:D53)</f>
        <v>0</v>
      </c>
      <c r="E54" s="120">
        <f>SUM(E50:E53)</f>
        <v>0</v>
      </c>
    </row>
    <row r="56" spans="1:5" x14ac:dyDescent="0.25">
      <c r="A56" s="50" t="s">
        <v>151</v>
      </c>
      <c r="B56" s="50" t="s">
        <v>40</v>
      </c>
      <c r="C56" s="45">
        <v>-20745848.43</v>
      </c>
      <c r="D56" s="45">
        <v>-4461524.18</v>
      </c>
      <c r="E56" s="45">
        <v>-25207372.609999999</v>
      </c>
    </row>
    <row r="57" spans="1:5" x14ac:dyDescent="0.25">
      <c r="A57" s="50" t="s">
        <v>152</v>
      </c>
      <c r="B57" s="50" t="s">
        <v>41</v>
      </c>
      <c r="C57" s="45">
        <v>-6251107.0099999998</v>
      </c>
      <c r="D57" s="45">
        <v>3933092.26</v>
      </c>
      <c r="E57" s="45">
        <v>-2318014.75</v>
      </c>
    </row>
    <row r="58" spans="1:5" x14ac:dyDescent="0.25">
      <c r="A58" s="50" t="s">
        <v>153</v>
      </c>
      <c r="B58" s="50" t="s">
        <v>42</v>
      </c>
      <c r="C58" s="45">
        <v>-1074858.3999999999</v>
      </c>
      <c r="D58" s="45">
        <v>-678179</v>
      </c>
      <c r="E58" s="45">
        <v>-1753037.4</v>
      </c>
    </row>
    <row r="59" spans="1:5" x14ac:dyDescent="0.25">
      <c r="A59" s="50" t="s">
        <v>154</v>
      </c>
      <c r="B59" s="50" t="s">
        <v>43</v>
      </c>
      <c r="C59" s="45">
        <v>-2107076.39</v>
      </c>
      <c r="D59" s="45">
        <v>-550823.66</v>
      </c>
      <c r="E59" s="45">
        <v>-2657900.0499999998</v>
      </c>
    </row>
    <row r="60" spans="1:5" s="119" customFormat="1" x14ac:dyDescent="0.25">
      <c r="A60" s="118" t="s">
        <v>155</v>
      </c>
      <c r="C60" s="120">
        <f>SUM(C56:C59)</f>
        <v>-30178890.229999997</v>
      </c>
      <c r="D60" s="120">
        <f>SUM(D56:D59)</f>
        <v>-1757434.58</v>
      </c>
      <c r="E60" s="120">
        <f>SUM(E56:E59)</f>
        <v>-31936324.809999999</v>
      </c>
    </row>
    <row r="62" spans="1:5" x14ac:dyDescent="0.25">
      <c r="A62" s="50" t="s">
        <v>156</v>
      </c>
      <c r="B62" s="50" t="s">
        <v>157</v>
      </c>
      <c r="C62" s="45">
        <v>20125280.57</v>
      </c>
      <c r="D62" s="45">
        <v>4747478.8099999996</v>
      </c>
      <c r="E62" s="45">
        <v>24872759.379999999</v>
      </c>
    </row>
    <row r="63" spans="1:5" x14ac:dyDescent="0.25">
      <c r="A63" s="50" t="s">
        <v>158</v>
      </c>
      <c r="B63" s="50" t="s">
        <v>159</v>
      </c>
      <c r="C63" s="45">
        <v>2011011.12</v>
      </c>
      <c r="D63" s="45">
        <v>407285.63</v>
      </c>
      <c r="E63" s="45">
        <v>2418296.75</v>
      </c>
    </row>
    <row r="64" spans="1:5" x14ac:dyDescent="0.25">
      <c r="A64" s="50" t="s">
        <v>160</v>
      </c>
      <c r="B64" s="50" t="s">
        <v>161</v>
      </c>
      <c r="C64" s="45">
        <v>740388.52</v>
      </c>
      <c r="D64" s="45">
        <v>169170.94</v>
      </c>
      <c r="E64" s="45">
        <v>909559.46</v>
      </c>
    </row>
    <row r="65" spans="1:5" x14ac:dyDescent="0.25">
      <c r="A65" s="50" t="s">
        <v>162</v>
      </c>
      <c r="B65" s="50" t="s">
        <v>163</v>
      </c>
      <c r="C65" s="45">
        <v>1136230.07</v>
      </c>
      <c r="D65" s="45">
        <v>296328.09999999998</v>
      </c>
      <c r="E65" s="45">
        <v>1432558.17</v>
      </c>
    </row>
    <row r="66" spans="1:5" s="119" customFormat="1" x14ac:dyDescent="0.25">
      <c r="A66" s="118" t="s">
        <v>164</v>
      </c>
      <c r="C66" s="120">
        <f>SUM(C62:C65)</f>
        <v>24012910.280000001</v>
      </c>
      <c r="D66" s="120">
        <f>SUM(D62:D65)</f>
        <v>5620263.4799999995</v>
      </c>
      <c r="E66" s="120">
        <f>SUM(E62:E65)</f>
        <v>29633173.759999998</v>
      </c>
    </row>
    <row r="68" spans="1:5" s="119" customFormat="1" x14ac:dyDescent="0.25">
      <c r="A68" s="118" t="s">
        <v>31</v>
      </c>
      <c r="C68" s="120">
        <f>C14+C20+C26+C32+C38+C44+C46+C54+C60+C66</f>
        <v>-36710958.209999986</v>
      </c>
      <c r="D68" s="120">
        <f>D14+D20+D26+D32+D38+D44+D46+D54+D60+D66</f>
        <v>-77374653.217599958</v>
      </c>
      <c r="E68" s="120">
        <f>E14+E20+E26+E32+E38+E44+E46+E54+E60+E66</f>
        <v>-114085611.42759973</v>
      </c>
    </row>
  </sheetData>
  <phoneticPr fontId="0" type="noConversion"/>
  <pageMargins left="0.75" right="0.75" top="0.75" bottom="0.75" header="0.5" footer="0.5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workbookViewId="0">
      <pane ySplit="8" topLeftCell="A42" activePane="bottomLeft" state="frozenSplit"/>
      <selection pane="bottomLeft" activeCell="H68" sqref="H68"/>
    </sheetView>
  </sheetViews>
  <sheetFormatPr defaultColWidth="9.109375" defaultRowHeight="13.2" x14ac:dyDescent="0.25"/>
  <cols>
    <col min="1" max="1" width="30.6640625" style="93" customWidth="1"/>
    <col min="2" max="2" width="15.109375" style="93" customWidth="1"/>
    <col min="3" max="5" width="20.109375" style="45" customWidth="1"/>
    <col min="6" max="6" width="5.109375" style="93" customWidth="1"/>
    <col min="7" max="7" width="18.5546875" style="45" customWidth="1"/>
    <col min="8" max="8" width="12.6640625" style="93" customWidth="1"/>
    <col min="9" max="16384" width="9.109375" style="93"/>
  </cols>
  <sheetData>
    <row r="1" spans="1:8" s="49" customFormat="1" x14ac:dyDescent="0.25">
      <c r="A1" s="141" t="s">
        <v>53</v>
      </c>
      <c r="B1" s="142"/>
      <c r="C1" s="142"/>
      <c r="D1" s="142"/>
      <c r="E1" s="142"/>
      <c r="G1" s="142"/>
    </row>
    <row r="2" spans="1:8" s="49" customFormat="1" x14ac:dyDescent="0.25">
      <c r="A2" s="143" t="s">
        <v>86</v>
      </c>
      <c r="B2" s="144"/>
      <c r="C2" s="144"/>
      <c r="D2" s="144"/>
      <c r="E2" s="144"/>
      <c r="G2" s="144"/>
    </row>
    <row r="3" spans="1:8" s="49" customFormat="1" x14ac:dyDescent="0.25">
      <c r="A3" s="141" t="s">
        <v>87</v>
      </c>
      <c r="B3" s="142"/>
      <c r="C3" s="142"/>
      <c r="D3" s="142"/>
      <c r="E3" s="142"/>
      <c r="G3" s="142"/>
    </row>
    <row r="4" spans="1:8" s="49" customFormat="1" x14ac:dyDescent="0.25">
      <c r="A4" s="145" t="s">
        <v>88</v>
      </c>
      <c r="B4" s="146"/>
      <c r="C4" s="146"/>
      <c r="D4" s="146"/>
      <c r="E4" s="146"/>
      <c r="G4" s="146"/>
    </row>
    <row r="5" spans="1:8" s="49" customFormat="1" x14ac:dyDescent="0.25">
      <c r="A5" s="47" t="s">
        <v>171</v>
      </c>
      <c r="B5" s="48"/>
      <c r="C5" s="48"/>
      <c r="D5" s="48"/>
      <c r="E5" s="48"/>
      <c r="G5" s="48"/>
    </row>
    <row r="6" spans="1:8" s="49" customFormat="1" x14ac:dyDescent="0.25"/>
    <row r="7" spans="1:8" s="49" customFormat="1" ht="26.4" x14ac:dyDescent="0.25">
      <c r="B7" s="69" t="s">
        <v>30</v>
      </c>
      <c r="C7" s="69" t="s">
        <v>90</v>
      </c>
      <c r="D7" s="69" t="s">
        <v>91</v>
      </c>
      <c r="E7" s="69" t="s">
        <v>92</v>
      </c>
      <c r="G7" s="154" t="s">
        <v>173</v>
      </c>
      <c r="H7" s="147" t="s">
        <v>172</v>
      </c>
    </row>
    <row r="8" spans="1:8" s="49" customFormat="1" x14ac:dyDescent="0.25"/>
    <row r="9" spans="1:8" x14ac:dyDescent="0.25">
      <c r="A9" s="50" t="s">
        <v>93</v>
      </c>
      <c r="B9" s="50" t="s">
        <v>34</v>
      </c>
      <c r="C9" s="51">
        <v>376853585.54000002</v>
      </c>
      <c r="D9" s="51">
        <v>187626532.36000001</v>
      </c>
      <c r="E9" s="51">
        <v>564480117.89999998</v>
      </c>
      <c r="G9" s="51">
        <f>'[10]TB Dec 08'!D9</f>
        <v>187626532.36000001</v>
      </c>
      <c r="H9" s="148">
        <f>D9-G9</f>
        <v>0</v>
      </c>
    </row>
    <row r="10" spans="1:8" x14ac:dyDescent="0.25">
      <c r="A10" s="50" t="s">
        <v>94</v>
      </c>
      <c r="B10" s="50" t="s">
        <v>35</v>
      </c>
      <c r="C10" s="45">
        <v>744240477.15999997</v>
      </c>
      <c r="D10" s="45">
        <v>370513674.38</v>
      </c>
      <c r="E10" s="45">
        <v>1114754151.54</v>
      </c>
      <c r="G10" s="45">
        <f>'[10]TB Dec 08'!D10</f>
        <v>370513674.38</v>
      </c>
      <c r="H10" s="148">
        <f t="shared" ref="H10:H68" si="0">D10-G10</f>
        <v>0</v>
      </c>
    </row>
    <row r="11" spans="1:8" x14ac:dyDescent="0.25">
      <c r="A11" s="50" t="s">
        <v>95</v>
      </c>
      <c r="B11" s="50" t="s">
        <v>36</v>
      </c>
      <c r="C11" s="45">
        <v>133107532.09</v>
      </c>
      <c r="D11" s="45">
        <v>66289073.159999996</v>
      </c>
      <c r="E11" s="45">
        <v>199396605.25</v>
      </c>
      <c r="G11" s="45">
        <f>'[10]TB Dec 08'!D11</f>
        <v>66289073.159999996</v>
      </c>
      <c r="H11" s="148">
        <f t="shared" si="0"/>
        <v>0</v>
      </c>
    </row>
    <row r="12" spans="1:8" x14ac:dyDescent="0.25">
      <c r="A12" s="50" t="s">
        <v>96</v>
      </c>
      <c r="B12" s="50" t="s">
        <v>37</v>
      </c>
      <c r="C12" s="45">
        <v>25153773.93</v>
      </c>
      <c r="D12" s="45">
        <v>12495759.289999999</v>
      </c>
      <c r="E12" s="45">
        <v>37649533.219999999</v>
      </c>
      <c r="G12" s="45">
        <f>'[10]TB Dec 08'!D12</f>
        <v>12495759.289999999</v>
      </c>
      <c r="H12" s="148">
        <f t="shared" si="0"/>
        <v>0</v>
      </c>
    </row>
    <row r="13" spans="1:8" x14ac:dyDescent="0.25">
      <c r="A13" s="50" t="s">
        <v>97</v>
      </c>
      <c r="B13" s="50" t="s">
        <v>38</v>
      </c>
      <c r="C13" s="45">
        <v>0</v>
      </c>
      <c r="D13" s="45">
        <v>0</v>
      </c>
      <c r="E13" s="45">
        <v>0</v>
      </c>
      <c r="G13" s="45">
        <f>'[10]TB Dec 08'!D13</f>
        <v>0</v>
      </c>
      <c r="H13" s="148">
        <f t="shared" si="0"/>
        <v>0</v>
      </c>
    </row>
    <row r="14" spans="1:8" s="150" customFormat="1" x14ac:dyDescent="0.25">
      <c r="A14" s="149" t="s">
        <v>98</v>
      </c>
      <c r="C14" s="151">
        <f>SUM(C9:C13)</f>
        <v>1279355368.72</v>
      </c>
      <c r="D14" s="151">
        <f>SUM(D9:D13)</f>
        <v>636925039.18999994</v>
      </c>
      <c r="E14" s="151">
        <f>SUM(E9:E13)</f>
        <v>1916280407.9100001</v>
      </c>
      <c r="G14" s="151">
        <f>'[10]TB Dec 08'!D14</f>
        <v>636925039.18999994</v>
      </c>
      <c r="H14" s="148">
        <f t="shared" si="0"/>
        <v>0</v>
      </c>
    </row>
    <row r="15" spans="1:8" x14ac:dyDescent="0.25">
      <c r="G15" s="45">
        <f>'[10]TB Dec 08'!D15</f>
        <v>0</v>
      </c>
      <c r="H15" s="148">
        <f t="shared" si="0"/>
        <v>0</v>
      </c>
    </row>
    <row r="16" spans="1:8" x14ac:dyDescent="0.25">
      <c r="A16" s="50" t="s">
        <v>99</v>
      </c>
      <c r="B16" s="50" t="s">
        <v>100</v>
      </c>
      <c r="C16" s="45">
        <v>253180.91</v>
      </c>
      <c r="D16" s="45">
        <v>155249.91</v>
      </c>
      <c r="E16" s="45">
        <v>408430.82</v>
      </c>
      <c r="G16" s="45">
        <f>'[10]TB Dec 08'!D16</f>
        <v>155249.91</v>
      </c>
      <c r="H16" s="148">
        <f t="shared" si="0"/>
        <v>0</v>
      </c>
    </row>
    <row r="17" spans="1:8" x14ac:dyDescent="0.25">
      <c r="A17" s="50" t="s">
        <v>101</v>
      </c>
      <c r="B17" s="50" t="s">
        <v>102</v>
      </c>
      <c r="C17" s="45">
        <v>513898.22</v>
      </c>
      <c r="D17" s="45">
        <v>313757.83</v>
      </c>
      <c r="E17" s="45">
        <v>827656.05</v>
      </c>
      <c r="G17" s="45">
        <f>'[10]TB Dec 08'!D17</f>
        <v>313757.83</v>
      </c>
      <c r="H17" s="148">
        <f t="shared" si="0"/>
        <v>0</v>
      </c>
    </row>
    <row r="18" spans="1:8" x14ac:dyDescent="0.25">
      <c r="A18" s="50" t="s">
        <v>103</v>
      </c>
      <c r="B18" s="50" t="s">
        <v>104</v>
      </c>
      <c r="C18" s="45">
        <v>91831.47</v>
      </c>
      <c r="D18" s="45">
        <v>56367.97</v>
      </c>
      <c r="E18" s="45">
        <v>148199.44</v>
      </c>
      <c r="G18" s="45">
        <f>'[10]TB Dec 08'!D18</f>
        <v>56367.97</v>
      </c>
      <c r="H18" s="148">
        <f t="shared" si="0"/>
        <v>0</v>
      </c>
    </row>
    <row r="19" spans="1:8" x14ac:dyDescent="0.25">
      <c r="A19" s="50" t="s">
        <v>105</v>
      </c>
      <c r="B19" s="50" t="s">
        <v>106</v>
      </c>
      <c r="C19" s="45">
        <v>23989.26</v>
      </c>
      <c r="D19" s="45">
        <v>14580.64</v>
      </c>
      <c r="E19" s="45">
        <v>38569.9</v>
      </c>
      <c r="G19" s="45">
        <f>'[10]TB Dec 08'!D19</f>
        <v>14580.64</v>
      </c>
      <c r="H19" s="148">
        <f t="shared" si="0"/>
        <v>0</v>
      </c>
    </row>
    <row r="20" spans="1:8" s="150" customFormat="1" x14ac:dyDescent="0.25">
      <c r="A20" s="149" t="s">
        <v>107</v>
      </c>
      <c r="C20" s="151">
        <f>SUM(C16:C19)</f>
        <v>882899.86</v>
      </c>
      <c r="D20" s="151">
        <f>SUM(D16:D19)</f>
        <v>539956.35</v>
      </c>
      <c r="E20" s="151">
        <f>SUM(E16:E19)</f>
        <v>1422856.21</v>
      </c>
      <c r="G20" s="151">
        <f>'[10]TB Dec 08'!D20</f>
        <v>539956.35</v>
      </c>
      <c r="H20" s="148">
        <f t="shared" si="0"/>
        <v>0</v>
      </c>
    </row>
    <row r="21" spans="1:8" x14ac:dyDescent="0.25">
      <c r="G21" s="45">
        <f>'[10]TB Dec 08'!D21</f>
        <v>0</v>
      </c>
      <c r="H21" s="148">
        <f t="shared" si="0"/>
        <v>0</v>
      </c>
    </row>
    <row r="22" spans="1:8" x14ac:dyDescent="0.25">
      <c r="A22" s="50" t="s">
        <v>108</v>
      </c>
      <c r="B22" s="50" t="s">
        <v>109</v>
      </c>
      <c r="C22" s="45">
        <v>126096.27</v>
      </c>
      <c r="D22" s="45">
        <v>49828.32</v>
      </c>
      <c r="E22" s="45">
        <v>175924.59</v>
      </c>
      <c r="G22" s="45">
        <f>'[10]TB Dec 08'!D22</f>
        <v>49828.32</v>
      </c>
      <c r="H22" s="148">
        <f t="shared" si="0"/>
        <v>0</v>
      </c>
    </row>
    <row r="23" spans="1:8" x14ac:dyDescent="0.25">
      <c r="A23" s="50" t="s">
        <v>110</v>
      </c>
      <c r="B23" s="50" t="s">
        <v>111</v>
      </c>
      <c r="C23" s="45">
        <v>255752.76</v>
      </c>
      <c r="D23" s="45">
        <v>101063.4</v>
      </c>
      <c r="E23" s="45">
        <v>356816.16</v>
      </c>
      <c r="G23" s="45">
        <f>'[10]TB Dec 08'!D23</f>
        <v>101063.4</v>
      </c>
      <c r="H23" s="148">
        <f t="shared" si="0"/>
        <v>0</v>
      </c>
    </row>
    <row r="24" spans="1:8" x14ac:dyDescent="0.25">
      <c r="A24" s="50" t="s">
        <v>112</v>
      </c>
      <c r="B24" s="50" t="s">
        <v>113</v>
      </c>
      <c r="C24" s="45">
        <v>45709.39</v>
      </c>
      <c r="D24" s="45">
        <v>18062.57</v>
      </c>
      <c r="E24" s="45">
        <v>63771.96</v>
      </c>
      <c r="G24" s="45">
        <f>'[10]TB Dec 08'!D24</f>
        <v>18062.57</v>
      </c>
      <c r="H24" s="148">
        <f t="shared" si="0"/>
        <v>0</v>
      </c>
    </row>
    <row r="25" spans="1:8" x14ac:dyDescent="0.25">
      <c r="A25" s="50" t="s">
        <v>114</v>
      </c>
      <c r="B25" s="50" t="s">
        <v>115</v>
      </c>
      <c r="C25" s="45">
        <v>11954.73</v>
      </c>
      <c r="D25" s="45">
        <v>4724.04</v>
      </c>
      <c r="E25" s="45">
        <v>16678.77</v>
      </c>
      <c r="G25" s="45">
        <f>'[10]TB Dec 08'!D25</f>
        <v>4724.04</v>
      </c>
      <c r="H25" s="148">
        <f t="shared" si="0"/>
        <v>0</v>
      </c>
    </row>
    <row r="26" spans="1:8" s="150" customFormat="1" x14ac:dyDescent="0.25">
      <c r="A26" s="149" t="s">
        <v>116</v>
      </c>
      <c r="C26" s="151">
        <f>SUM(C22:C25)</f>
        <v>439513.15</v>
      </c>
      <c r="D26" s="151">
        <f>SUM(D22:D25)</f>
        <v>173678.33000000002</v>
      </c>
      <c r="E26" s="151">
        <f>SUM(E22:E25)</f>
        <v>613191.48</v>
      </c>
      <c r="G26" s="151">
        <f>'[10]TB Dec 08'!D26</f>
        <v>173678.33000000002</v>
      </c>
      <c r="H26" s="148">
        <f t="shared" si="0"/>
        <v>0</v>
      </c>
    </row>
    <row r="27" spans="1:8" x14ac:dyDescent="0.25">
      <c r="G27" s="45">
        <f>'[10]TB Dec 08'!D27</f>
        <v>0</v>
      </c>
      <c r="H27" s="148">
        <f t="shared" si="0"/>
        <v>0</v>
      </c>
    </row>
    <row r="28" spans="1:8" x14ac:dyDescent="0.25">
      <c r="A28" s="50" t="s">
        <v>117</v>
      </c>
      <c r="B28" s="50" t="s">
        <v>118</v>
      </c>
      <c r="C28" s="45">
        <v>0</v>
      </c>
      <c r="D28" s="45">
        <v>0</v>
      </c>
      <c r="E28" s="45">
        <v>0</v>
      </c>
      <c r="G28" s="45">
        <f>'[10]TB Dec 08'!D28</f>
        <v>0</v>
      </c>
      <c r="H28" s="148">
        <f t="shared" si="0"/>
        <v>0</v>
      </c>
    </row>
    <row r="29" spans="1:8" x14ac:dyDescent="0.25">
      <c r="A29" s="50" t="s">
        <v>119</v>
      </c>
      <c r="B29" s="50" t="s">
        <v>120</v>
      </c>
      <c r="C29" s="45">
        <v>0</v>
      </c>
      <c r="D29" s="45">
        <v>0</v>
      </c>
      <c r="E29" s="45">
        <v>0</v>
      </c>
      <c r="G29" s="45">
        <f>'[10]TB Dec 08'!D29</f>
        <v>0</v>
      </c>
      <c r="H29" s="148">
        <f t="shared" si="0"/>
        <v>0</v>
      </c>
    </row>
    <row r="30" spans="1:8" x14ac:dyDescent="0.25">
      <c r="A30" s="50" t="s">
        <v>121</v>
      </c>
      <c r="B30" s="50" t="s">
        <v>122</v>
      </c>
      <c r="C30" s="45">
        <v>0</v>
      </c>
      <c r="D30" s="45">
        <v>0</v>
      </c>
      <c r="E30" s="45">
        <v>0</v>
      </c>
      <c r="G30" s="45">
        <f>'[10]TB Dec 08'!D30</f>
        <v>0</v>
      </c>
      <c r="H30" s="148">
        <f t="shared" si="0"/>
        <v>0</v>
      </c>
    </row>
    <row r="31" spans="1:8" x14ac:dyDescent="0.25">
      <c r="A31" s="50" t="s">
        <v>123</v>
      </c>
      <c r="B31" s="50" t="s">
        <v>124</v>
      </c>
      <c r="C31" s="45">
        <v>0</v>
      </c>
      <c r="D31" s="45">
        <v>0</v>
      </c>
      <c r="E31" s="45">
        <v>0</v>
      </c>
      <c r="G31" s="45">
        <f>'[10]TB Dec 08'!D31</f>
        <v>0</v>
      </c>
      <c r="H31" s="148">
        <f t="shared" si="0"/>
        <v>0</v>
      </c>
    </row>
    <row r="32" spans="1:8" s="150" customFormat="1" x14ac:dyDescent="0.25">
      <c r="A32" s="149" t="s">
        <v>125</v>
      </c>
      <c r="C32" s="151">
        <f>SUM(C28:C31)</f>
        <v>0</v>
      </c>
      <c r="D32" s="151">
        <f>SUM(D28:D31)</f>
        <v>0</v>
      </c>
      <c r="E32" s="151">
        <f>SUM(E28:E31)</f>
        <v>0</v>
      </c>
      <c r="G32" s="151">
        <f>'[10]TB Dec 08'!D32</f>
        <v>0</v>
      </c>
      <c r="H32" s="148">
        <f t="shared" si="0"/>
        <v>0</v>
      </c>
    </row>
    <row r="33" spans="1:8" x14ac:dyDescent="0.25">
      <c r="G33" s="45">
        <f>'[10]TB Dec 08'!D33</f>
        <v>0</v>
      </c>
      <c r="H33" s="148">
        <f t="shared" si="0"/>
        <v>0</v>
      </c>
    </row>
    <row r="34" spans="1:8" x14ac:dyDescent="0.25">
      <c r="A34" s="50" t="s">
        <v>126</v>
      </c>
      <c r="B34" s="50" t="s">
        <v>127</v>
      </c>
      <c r="C34" s="45">
        <v>-3963414.29</v>
      </c>
      <c r="D34" s="45">
        <v>13232.04</v>
      </c>
      <c r="E34" s="45">
        <v>-3950182.25</v>
      </c>
      <c r="G34" s="45">
        <f>'[10]TB Dec 08'!D34</f>
        <v>13232.04</v>
      </c>
      <c r="H34" s="148">
        <f t="shared" si="0"/>
        <v>0</v>
      </c>
    </row>
    <row r="35" spans="1:8" x14ac:dyDescent="0.25">
      <c r="A35" s="50" t="s">
        <v>128</v>
      </c>
      <c r="B35" s="50" t="s">
        <v>129</v>
      </c>
      <c r="C35" s="45">
        <v>1136771.3999999999</v>
      </c>
      <c r="D35" s="45">
        <v>1471913.23</v>
      </c>
      <c r="E35" s="45">
        <v>2608684.63</v>
      </c>
      <c r="G35" s="45">
        <f>'[10]TB Dec 08'!D35</f>
        <v>1471913.23</v>
      </c>
      <c r="H35" s="148">
        <f t="shared" si="0"/>
        <v>0</v>
      </c>
    </row>
    <row r="36" spans="1:8" x14ac:dyDescent="0.25">
      <c r="A36" s="50" t="s">
        <v>130</v>
      </c>
      <c r="B36" s="50" t="s">
        <v>131</v>
      </c>
      <c r="C36" s="45">
        <v>202745.89</v>
      </c>
      <c r="D36" s="45">
        <v>262976.58</v>
      </c>
      <c r="E36" s="45">
        <v>465722.47</v>
      </c>
      <c r="G36" s="45">
        <f>'[10]TB Dec 08'!D36</f>
        <v>262976.58</v>
      </c>
      <c r="H36" s="148">
        <f t="shared" si="0"/>
        <v>0</v>
      </c>
    </row>
    <row r="37" spans="1:8" x14ac:dyDescent="0.25">
      <c r="A37" s="50" t="s">
        <v>132</v>
      </c>
      <c r="B37" s="50" t="s">
        <v>133</v>
      </c>
      <c r="C37" s="45">
        <v>52470.89</v>
      </c>
      <c r="D37" s="45">
        <v>68858.990000000005</v>
      </c>
      <c r="E37" s="45">
        <v>121329.88</v>
      </c>
      <c r="G37" s="45">
        <f>'[10]TB Dec 08'!D37</f>
        <v>68858.990000000005</v>
      </c>
      <c r="H37" s="148">
        <f t="shared" si="0"/>
        <v>0</v>
      </c>
    </row>
    <row r="38" spans="1:8" s="150" customFormat="1" x14ac:dyDescent="0.25">
      <c r="A38" s="149" t="s">
        <v>134</v>
      </c>
      <c r="C38" s="151">
        <f>SUM(C34:C37)</f>
        <v>-2571426.11</v>
      </c>
      <c r="D38" s="151">
        <f>SUM(D34:D37)</f>
        <v>1816980.84</v>
      </c>
      <c r="E38" s="151">
        <f>SUM(E34:E37)</f>
        <v>-754445.27000000014</v>
      </c>
      <c r="G38" s="151">
        <f>'[10]TB Dec 08'!D38</f>
        <v>1816980.84</v>
      </c>
      <c r="H38" s="148">
        <f t="shared" si="0"/>
        <v>0</v>
      </c>
    </row>
    <row r="39" spans="1:8" x14ac:dyDescent="0.25">
      <c r="G39" s="45">
        <f>'[10]TB Dec 08'!D39</f>
        <v>0</v>
      </c>
      <c r="H39" s="148">
        <f t="shared" si="0"/>
        <v>0</v>
      </c>
    </row>
    <row r="40" spans="1:8" x14ac:dyDescent="0.25">
      <c r="A40" s="50" t="s">
        <v>135</v>
      </c>
      <c r="B40" s="50" t="s">
        <v>136</v>
      </c>
      <c r="C40" s="45">
        <v>-421913771.55000001</v>
      </c>
      <c r="D40" s="45">
        <v>-143164504.66999999</v>
      </c>
      <c r="E40" s="45">
        <v>-565078276.22000003</v>
      </c>
      <c r="G40" s="45">
        <f>'[10]TB Dec 08'!D40</f>
        <v>-143164504.66999999</v>
      </c>
      <c r="H40" s="148">
        <f t="shared" si="0"/>
        <v>0</v>
      </c>
    </row>
    <row r="41" spans="1:8" x14ac:dyDescent="0.25">
      <c r="A41" s="50" t="s">
        <v>137</v>
      </c>
      <c r="B41" s="50" t="s">
        <v>138</v>
      </c>
      <c r="C41" s="45">
        <v>-752938079.76999998</v>
      </c>
      <c r="D41" s="45">
        <v>-421898170</v>
      </c>
      <c r="E41" s="45">
        <v>-1174836249.77</v>
      </c>
      <c r="G41" s="45">
        <f>'[10]TB Dec 08'!D41</f>
        <v>-421898170</v>
      </c>
      <c r="H41" s="148">
        <f t="shared" si="0"/>
        <v>0</v>
      </c>
    </row>
    <row r="42" spans="1:8" x14ac:dyDescent="0.25">
      <c r="A42" s="50" t="s">
        <v>139</v>
      </c>
      <c r="B42" s="50" t="s">
        <v>140</v>
      </c>
      <c r="C42" s="45">
        <v>-135377118.37</v>
      </c>
      <c r="D42" s="45">
        <v>-67041004</v>
      </c>
      <c r="E42" s="45">
        <v>-202418122.37</v>
      </c>
      <c r="G42" s="45">
        <f>'[10]TB Dec 08'!D42</f>
        <v>-67041004</v>
      </c>
      <c r="H42" s="148">
        <f t="shared" si="0"/>
        <v>0</v>
      </c>
    </row>
    <row r="43" spans="1:8" x14ac:dyDescent="0.25">
      <c r="A43" s="50" t="s">
        <v>141</v>
      </c>
      <c r="B43" s="50" t="s">
        <v>142</v>
      </c>
      <c r="C43" s="45">
        <v>-3315978.68</v>
      </c>
      <c r="D43" s="45">
        <v>-2458361.5499999998</v>
      </c>
      <c r="E43" s="45">
        <v>-5774340.2300000004</v>
      </c>
      <c r="G43" s="45">
        <f>'[10]TB Dec 08'!D43</f>
        <v>-2458361.5499999998</v>
      </c>
      <c r="H43" s="148">
        <f t="shared" si="0"/>
        <v>0</v>
      </c>
    </row>
    <row r="44" spans="1:8" s="150" customFormat="1" x14ac:dyDescent="0.25">
      <c r="A44" s="149" t="s">
        <v>143</v>
      </c>
      <c r="C44" s="151">
        <f>SUM(C40:C43)</f>
        <v>-1313544948.3700001</v>
      </c>
      <c r="D44" s="151">
        <f>SUM(D40:D43)</f>
        <v>-634562040.21999991</v>
      </c>
      <c r="E44" s="151">
        <f>SUM(E40:E43)</f>
        <v>-1948106988.5900002</v>
      </c>
      <c r="G44" s="151">
        <f>'[10]TB Dec 08'!D44</f>
        <v>-634562040.21999991</v>
      </c>
      <c r="H44" s="148">
        <f t="shared" si="0"/>
        <v>0</v>
      </c>
    </row>
    <row r="45" spans="1:8" x14ac:dyDescent="0.25">
      <c r="G45" s="45">
        <f>'[10]TB Dec 08'!D45</f>
        <v>0</v>
      </c>
      <c r="H45" s="148">
        <f t="shared" si="0"/>
        <v>0</v>
      </c>
    </row>
    <row r="46" spans="1:8" s="150" customFormat="1" x14ac:dyDescent="0.25">
      <c r="A46" s="149" t="s">
        <v>144</v>
      </c>
      <c r="B46" s="149" t="s">
        <v>39</v>
      </c>
      <c r="C46" s="151">
        <v>0</v>
      </c>
      <c r="D46" s="151">
        <v>0</v>
      </c>
      <c r="E46" s="151">
        <v>0</v>
      </c>
      <c r="G46" s="151">
        <f>'[10]TB Dec 08'!D46</f>
        <v>0</v>
      </c>
      <c r="H46" s="148">
        <f t="shared" si="0"/>
        <v>0</v>
      </c>
    </row>
    <row r="47" spans="1:8" x14ac:dyDescent="0.25">
      <c r="A47" s="50" t="s">
        <v>145</v>
      </c>
      <c r="G47" s="45">
        <f>'[10]TB Dec 08'!D47</f>
        <v>0</v>
      </c>
      <c r="H47" s="148">
        <f t="shared" si="0"/>
        <v>0</v>
      </c>
    </row>
    <row r="48" spans="1:8" x14ac:dyDescent="0.25">
      <c r="G48" s="45">
        <f>'[10]TB Dec 08'!D48</f>
        <v>0</v>
      </c>
      <c r="H48" s="148">
        <f t="shared" si="0"/>
        <v>0</v>
      </c>
    </row>
    <row r="49" spans="1:8" x14ac:dyDescent="0.25">
      <c r="G49" s="45">
        <f>'[10]TB Dec 08'!D49</f>
        <v>0</v>
      </c>
      <c r="H49" s="148">
        <f t="shared" si="0"/>
        <v>0</v>
      </c>
    </row>
    <row r="50" spans="1:8" x14ac:dyDescent="0.25">
      <c r="A50" s="50" t="s">
        <v>146</v>
      </c>
      <c r="B50" s="50" t="s">
        <v>80</v>
      </c>
      <c r="C50" s="45">
        <v>0</v>
      </c>
      <c r="D50" s="45">
        <v>0</v>
      </c>
      <c r="E50" s="45">
        <v>0</v>
      </c>
      <c r="G50" s="45">
        <f>'[10]TB Dec 08'!D50</f>
        <v>0</v>
      </c>
      <c r="H50" s="148">
        <f t="shared" si="0"/>
        <v>0</v>
      </c>
    </row>
    <row r="51" spans="1:8" x14ac:dyDescent="0.25">
      <c r="A51" s="50" t="s">
        <v>147</v>
      </c>
      <c r="B51" s="50" t="s">
        <v>81</v>
      </c>
      <c r="C51" s="45">
        <v>0</v>
      </c>
      <c r="D51" s="45">
        <v>0</v>
      </c>
      <c r="E51" s="45">
        <v>0</v>
      </c>
      <c r="G51" s="45">
        <f>'[10]TB Dec 08'!D51</f>
        <v>0</v>
      </c>
      <c r="H51" s="148">
        <f t="shared" si="0"/>
        <v>0</v>
      </c>
    </row>
    <row r="52" spans="1:8" x14ac:dyDescent="0.25">
      <c r="A52" s="50" t="s">
        <v>148</v>
      </c>
      <c r="B52" s="50" t="s">
        <v>82</v>
      </c>
      <c r="C52" s="45">
        <v>0</v>
      </c>
      <c r="D52" s="45">
        <v>0</v>
      </c>
      <c r="E52" s="45">
        <v>0</v>
      </c>
      <c r="G52" s="45">
        <f>'[10]TB Dec 08'!D52</f>
        <v>0</v>
      </c>
      <c r="H52" s="148">
        <f t="shared" si="0"/>
        <v>0</v>
      </c>
    </row>
    <row r="53" spans="1:8" x14ac:dyDescent="0.25">
      <c r="A53" s="50" t="s">
        <v>149</v>
      </c>
      <c r="B53" s="50" t="s">
        <v>83</v>
      </c>
      <c r="C53" s="45">
        <v>0</v>
      </c>
      <c r="D53" s="45">
        <v>0</v>
      </c>
      <c r="E53" s="45">
        <v>0</v>
      </c>
      <c r="G53" s="45">
        <f>'[10]TB Dec 08'!D53</f>
        <v>0</v>
      </c>
      <c r="H53" s="148">
        <f t="shared" si="0"/>
        <v>0</v>
      </c>
    </row>
    <row r="54" spans="1:8" s="150" customFormat="1" x14ac:dyDescent="0.25">
      <c r="A54" s="149" t="s">
        <v>150</v>
      </c>
      <c r="C54" s="151">
        <f>SUM(C50:C53)</f>
        <v>0</v>
      </c>
      <c r="D54" s="151">
        <f>SUM(D50:D53)</f>
        <v>0</v>
      </c>
      <c r="E54" s="151">
        <f>SUM(E50:E53)</f>
        <v>0</v>
      </c>
      <c r="G54" s="151">
        <f>'[10]TB Dec 08'!D54</f>
        <v>0</v>
      </c>
      <c r="H54" s="148">
        <f t="shared" si="0"/>
        <v>0</v>
      </c>
    </row>
    <row r="55" spans="1:8" x14ac:dyDescent="0.25">
      <c r="G55" s="45">
        <f>'[10]TB Dec 08'!D55</f>
        <v>0</v>
      </c>
      <c r="H55" s="148">
        <f t="shared" si="0"/>
        <v>0</v>
      </c>
    </row>
    <row r="56" spans="1:8" x14ac:dyDescent="0.25">
      <c r="A56" s="50" t="s">
        <v>151</v>
      </c>
      <c r="B56" s="50" t="s">
        <v>40</v>
      </c>
      <c r="C56" s="45">
        <v>-10804475.48</v>
      </c>
      <c r="D56" s="45">
        <v>-9941372.9499999993</v>
      </c>
      <c r="E56" s="45">
        <v>-20745848.43</v>
      </c>
      <c r="G56" s="45">
        <f>'[10]TB Dec 08'!D56</f>
        <v>-9941372.9499999993</v>
      </c>
      <c r="H56" s="148">
        <f t="shared" si="0"/>
        <v>0</v>
      </c>
    </row>
    <row r="57" spans="1:8" x14ac:dyDescent="0.25">
      <c r="A57" s="50" t="s">
        <v>152</v>
      </c>
      <c r="B57" s="50" t="s">
        <v>41</v>
      </c>
      <c r="C57" s="45">
        <v>-2023040.05</v>
      </c>
      <c r="D57" s="45">
        <v>-4228066.96</v>
      </c>
      <c r="E57" s="45">
        <v>-6251107.0099999998</v>
      </c>
      <c r="G57" s="45">
        <f>'[10]TB Dec 08'!D57</f>
        <v>-4228066.96</v>
      </c>
      <c r="H57" s="148">
        <f t="shared" si="0"/>
        <v>0</v>
      </c>
    </row>
    <row r="58" spans="1:8" x14ac:dyDescent="0.25">
      <c r="A58" s="50" t="s">
        <v>153</v>
      </c>
      <c r="B58" s="50" t="s">
        <v>42</v>
      </c>
      <c r="C58" s="45">
        <v>-756681.23</v>
      </c>
      <c r="D58" s="45">
        <v>-318177.17</v>
      </c>
      <c r="E58" s="45">
        <v>-1074858.3999999999</v>
      </c>
      <c r="G58" s="45">
        <f>'[10]TB Dec 08'!D58</f>
        <v>-318177.17</v>
      </c>
      <c r="H58" s="148">
        <f t="shared" si="0"/>
        <v>0</v>
      </c>
    </row>
    <row r="59" spans="1:8" x14ac:dyDescent="0.25">
      <c r="A59" s="50" t="s">
        <v>154</v>
      </c>
      <c r="B59" s="50" t="s">
        <v>43</v>
      </c>
      <c r="C59" s="45">
        <v>-1361861.09</v>
      </c>
      <c r="D59" s="45">
        <v>-745215.3</v>
      </c>
      <c r="E59" s="45">
        <v>-2107076.39</v>
      </c>
      <c r="G59" s="45">
        <f>'[10]TB Dec 08'!D59</f>
        <v>-745215.3</v>
      </c>
      <c r="H59" s="148">
        <f t="shared" si="0"/>
        <v>0</v>
      </c>
    </row>
    <row r="60" spans="1:8" s="150" customFormat="1" x14ac:dyDescent="0.25">
      <c r="A60" s="149" t="s">
        <v>155</v>
      </c>
      <c r="C60" s="151">
        <f>SUM(C56:C59)</f>
        <v>-14946057.850000001</v>
      </c>
      <c r="D60" s="151">
        <f>SUM(D56:D59)</f>
        <v>-15232832.380000001</v>
      </c>
      <c r="E60" s="151">
        <f>SUM(E56:E59)</f>
        <v>-30178890.229999997</v>
      </c>
      <c r="G60" s="151">
        <f>'[10]TB Dec 08'!D60</f>
        <v>-15232832.380000001</v>
      </c>
      <c r="H60" s="148">
        <f t="shared" si="0"/>
        <v>0</v>
      </c>
    </row>
    <row r="61" spans="1:8" x14ac:dyDescent="0.25">
      <c r="G61" s="45">
        <f>'[10]TB Dec 08'!D61</f>
        <v>0</v>
      </c>
      <c r="H61" s="148">
        <f t="shared" si="0"/>
        <v>0</v>
      </c>
    </row>
    <row r="62" spans="1:8" x14ac:dyDescent="0.25">
      <c r="A62" s="50" t="s">
        <v>156</v>
      </c>
      <c r="B62" s="50" t="s">
        <v>157</v>
      </c>
      <c r="C62" s="45">
        <v>14231559.960000001</v>
      </c>
      <c r="D62" s="45">
        <v>5893720.6100000003</v>
      </c>
      <c r="E62" s="45">
        <v>20125280.57</v>
      </c>
      <c r="G62" s="45">
        <f>'[10]TB Dec 08'!D62</f>
        <v>6121965.1699999999</v>
      </c>
      <c r="H62" s="152">
        <f t="shared" si="0"/>
        <v>-228244.55999999959</v>
      </c>
    </row>
    <row r="63" spans="1:8" x14ac:dyDescent="0.25">
      <c r="A63" s="50" t="s">
        <v>158</v>
      </c>
      <c r="B63" s="50" t="s">
        <v>159</v>
      </c>
      <c r="C63" s="45">
        <v>1445738.96</v>
      </c>
      <c r="D63" s="45">
        <v>565272.16</v>
      </c>
      <c r="E63" s="45">
        <v>2011011.12</v>
      </c>
      <c r="G63" s="45">
        <f>'[10]TB Dec 08'!D63</f>
        <v>587189.65</v>
      </c>
      <c r="H63" s="152">
        <f t="shared" si="0"/>
        <v>-21917.489999999991</v>
      </c>
    </row>
    <row r="64" spans="1:8" x14ac:dyDescent="0.25">
      <c r="A64" s="50" t="s">
        <v>160</v>
      </c>
      <c r="B64" s="50" t="s">
        <v>161</v>
      </c>
      <c r="C64" s="45">
        <v>525214.77</v>
      </c>
      <c r="D64" s="45">
        <v>215173.75</v>
      </c>
      <c r="E64" s="45">
        <v>740388.52</v>
      </c>
      <c r="G64" s="45">
        <f>'[10]TB Dec 08'!D64</f>
        <v>223511.17</v>
      </c>
      <c r="H64" s="152">
        <f t="shared" si="0"/>
        <v>-8337.4200000000128</v>
      </c>
    </row>
    <row r="65" spans="1:8" x14ac:dyDescent="0.25">
      <c r="A65" s="50" t="s">
        <v>162</v>
      </c>
      <c r="B65" s="50" t="s">
        <v>163</v>
      </c>
      <c r="C65" s="45">
        <v>781549.28</v>
      </c>
      <c r="D65" s="45">
        <v>354680.79</v>
      </c>
      <c r="E65" s="45">
        <v>1136230.07</v>
      </c>
      <c r="G65" s="45">
        <f>'[10]TB Dec 08'!D65</f>
        <v>368416.9</v>
      </c>
      <c r="H65" s="152">
        <f t="shared" si="0"/>
        <v>-13736.110000000044</v>
      </c>
    </row>
    <row r="66" spans="1:8" s="150" customFormat="1" x14ac:dyDescent="0.25">
      <c r="A66" s="149" t="s">
        <v>164</v>
      </c>
      <c r="C66" s="151">
        <f>SUM(C62:C65)</f>
        <v>16984062.970000003</v>
      </c>
      <c r="D66" s="151">
        <f>SUM(D62:D65)</f>
        <v>7028847.3100000005</v>
      </c>
      <c r="E66" s="151">
        <f>SUM(E62:E65)</f>
        <v>24012910.280000001</v>
      </c>
      <c r="G66" s="151">
        <f>'[10]TB Dec 08'!D66</f>
        <v>7301082.8900000006</v>
      </c>
      <c r="H66" s="153">
        <f t="shared" si="0"/>
        <v>-272235.58000000007</v>
      </c>
    </row>
    <row r="67" spans="1:8" x14ac:dyDescent="0.25">
      <c r="G67" s="45">
        <f>'[10]TB Dec 08'!D67</f>
        <v>0</v>
      </c>
      <c r="H67" s="148">
        <f t="shared" si="0"/>
        <v>0</v>
      </c>
    </row>
    <row r="68" spans="1:8" s="150" customFormat="1" x14ac:dyDescent="0.25">
      <c r="A68" s="149" t="s">
        <v>31</v>
      </c>
      <c r="C68" s="151">
        <f>C14+C20+C26+C32+C38+C44+C46+C54+C60+C66</f>
        <v>-33400587.629999999</v>
      </c>
      <c r="D68" s="151">
        <f>D14+D20+D26+D32+D38+D44+D46+D54+D60+D66</f>
        <v>-3310370.5799998716</v>
      </c>
      <c r="E68" s="151">
        <f>E14+E20+E26+E32+E38+E44+E46+E54+E60+E66</f>
        <v>-36710958.209999986</v>
      </c>
      <c r="G68" s="151">
        <f>'[10]TB Dec 08'!D68</f>
        <v>-3038134.9999998715</v>
      </c>
      <c r="H68" s="153">
        <f t="shared" si="0"/>
        <v>-272235.58000000007</v>
      </c>
    </row>
  </sheetData>
  <pageMargins left="0.75" right="0.75" top="0.75" bottom="0.75" header="0.5" footer="0.5"/>
  <pageSetup scale="64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pane ySplit="8" topLeftCell="A30" activePane="bottomLeft" state="frozenSplit"/>
      <selection pane="bottomLeft" activeCell="E14" sqref="E14"/>
    </sheetView>
  </sheetViews>
  <sheetFormatPr defaultColWidth="9.109375" defaultRowHeight="13.2" x14ac:dyDescent="0.25"/>
  <cols>
    <col min="1" max="1" width="30.6640625" style="93" customWidth="1"/>
    <col min="2" max="2" width="33.6640625" style="93" customWidth="1"/>
    <col min="3" max="5" width="22.6640625" style="85" customWidth="1"/>
    <col min="6" max="16384" width="9.109375" style="93"/>
  </cols>
  <sheetData>
    <row r="1" spans="1:5" s="49" customFormat="1" x14ac:dyDescent="0.25">
      <c r="A1" s="87" t="s">
        <v>53</v>
      </c>
      <c r="B1" s="88"/>
      <c r="C1" s="97"/>
      <c r="D1" s="97"/>
      <c r="E1" s="97"/>
    </row>
    <row r="2" spans="1:5" s="49" customFormat="1" x14ac:dyDescent="0.25">
      <c r="A2" s="89" t="s">
        <v>86</v>
      </c>
      <c r="B2" s="90"/>
      <c r="C2" s="98"/>
      <c r="D2" s="98"/>
      <c r="E2" s="98"/>
    </row>
    <row r="3" spans="1:5" s="49" customFormat="1" x14ac:dyDescent="0.25">
      <c r="A3" s="87" t="s">
        <v>87</v>
      </c>
      <c r="B3" s="88"/>
      <c r="C3" s="97"/>
      <c r="D3" s="97"/>
      <c r="E3" s="97"/>
    </row>
    <row r="4" spans="1:5" s="49" customFormat="1" x14ac:dyDescent="0.25">
      <c r="A4" s="91" t="s">
        <v>88</v>
      </c>
      <c r="B4" s="92"/>
      <c r="C4" s="99"/>
      <c r="D4" s="99"/>
      <c r="E4" s="99"/>
    </row>
    <row r="5" spans="1:5" s="49" customFormat="1" x14ac:dyDescent="0.25">
      <c r="A5" s="47" t="s">
        <v>89</v>
      </c>
      <c r="B5" s="48"/>
      <c r="C5" s="77"/>
      <c r="D5" s="77"/>
      <c r="E5" s="77"/>
    </row>
    <row r="6" spans="1:5" s="49" customFormat="1" x14ac:dyDescent="0.25">
      <c r="C6" s="100"/>
      <c r="D6" s="100"/>
      <c r="E6" s="100"/>
    </row>
    <row r="7" spans="1:5" s="49" customFormat="1" x14ac:dyDescent="0.25">
      <c r="B7" s="69" t="s">
        <v>30</v>
      </c>
      <c r="C7" s="101" t="s">
        <v>90</v>
      </c>
      <c r="D7" s="101" t="s">
        <v>91</v>
      </c>
      <c r="E7" s="101" t="s">
        <v>92</v>
      </c>
    </row>
    <row r="8" spans="1:5" s="49" customFormat="1" x14ac:dyDescent="0.25">
      <c r="C8" s="100"/>
      <c r="D8" s="100"/>
      <c r="E8" s="100"/>
    </row>
    <row r="9" spans="1:5" x14ac:dyDescent="0.25">
      <c r="A9" s="50" t="s">
        <v>93</v>
      </c>
      <c r="B9" s="50" t="s">
        <v>34</v>
      </c>
      <c r="C9" s="102">
        <v>376853585.54000002</v>
      </c>
      <c r="D9" s="102">
        <v>187626532.36000001</v>
      </c>
      <c r="E9" s="102">
        <v>564480117.89999998</v>
      </c>
    </row>
    <row r="10" spans="1:5" x14ac:dyDescent="0.25">
      <c r="A10" s="50" t="s">
        <v>94</v>
      </c>
      <c r="B10" s="50" t="s">
        <v>35</v>
      </c>
      <c r="C10" s="85">
        <v>744240477.15999997</v>
      </c>
      <c r="D10" s="85">
        <v>370513674.38</v>
      </c>
      <c r="E10" s="85">
        <v>1114754151.54</v>
      </c>
    </row>
    <row r="11" spans="1:5" x14ac:dyDescent="0.25">
      <c r="A11" s="50" t="s">
        <v>95</v>
      </c>
      <c r="B11" s="50" t="s">
        <v>36</v>
      </c>
      <c r="C11" s="85">
        <v>133107532.09</v>
      </c>
      <c r="D11" s="85">
        <v>66289073.159999996</v>
      </c>
      <c r="E11" s="85">
        <v>199396605.25</v>
      </c>
    </row>
    <row r="12" spans="1:5" x14ac:dyDescent="0.25">
      <c r="A12" s="50" t="s">
        <v>96</v>
      </c>
      <c r="B12" s="50" t="s">
        <v>37</v>
      </c>
      <c r="C12" s="85">
        <v>25153773.93</v>
      </c>
      <c r="D12" s="85">
        <v>12495759.289999999</v>
      </c>
      <c r="E12" s="85">
        <v>37649533.219999999</v>
      </c>
    </row>
    <row r="13" spans="1:5" x14ac:dyDescent="0.25">
      <c r="A13" s="50" t="s">
        <v>97</v>
      </c>
      <c r="B13" s="50" t="s">
        <v>38</v>
      </c>
      <c r="C13" s="85">
        <v>0</v>
      </c>
      <c r="D13" s="85">
        <v>0</v>
      </c>
      <c r="E13" s="85">
        <v>0</v>
      </c>
    </row>
    <row r="14" spans="1:5" s="95" customFormat="1" x14ac:dyDescent="0.25">
      <c r="A14" s="94" t="s">
        <v>98</v>
      </c>
      <c r="C14" s="103">
        <f>SUM(C9:C13)</f>
        <v>1279355368.72</v>
      </c>
      <c r="D14" s="103">
        <f>SUM(D9:D13)</f>
        <v>636925039.18999994</v>
      </c>
      <c r="E14" s="103">
        <f>SUM(E9:E13)</f>
        <v>1916280407.9100001</v>
      </c>
    </row>
    <row r="16" spans="1:5" x14ac:dyDescent="0.25">
      <c r="A16" s="50" t="s">
        <v>99</v>
      </c>
      <c r="B16" s="50" t="s">
        <v>100</v>
      </c>
      <c r="C16" s="85">
        <v>253180.91</v>
      </c>
      <c r="D16" s="85">
        <v>155249.91</v>
      </c>
      <c r="E16" s="85">
        <v>408430.82</v>
      </c>
    </row>
    <row r="17" spans="1:5" x14ac:dyDescent="0.25">
      <c r="A17" s="50" t="s">
        <v>101</v>
      </c>
      <c r="B17" s="50" t="s">
        <v>102</v>
      </c>
      <c r="C17" s="85">
        <v>513898.22</v>
      </c>
      <c r="D17" s="85">
        <v>313757.83</v>
      </c>
      <c r="E17" s="85">
        <v>827656.05</v>
      </c>
    </row>
    <row r="18" spans="1:5" x14ac:dyDescent="0.25">
      <c r="A18" s="50" t="s">
        <v>103</v>
      </c>
      <c r="B18" s="50" t="s">
        <v>104</v>
      </c>
      <c r="C18" s="85">
        <v>91831.47</v>
      </c>
      <c r="D18" s="85">
        <v>56367.97</v>
      </c>
      <c r="E18" s="85">
        <v>148199.44</v>
      </c>
    </row>
    <row r="19" spans="1:5" x14ac:dyDescent="0.25">
      <c r="A19" s="50" t="s">
        <v>105</v>
      </c>
      <c r="B19" s="50" t="s">
        <v>106</v>
      </c>
      <c r="C19" s="85">
        <v>23989.26</v>
      </c>
      <c r="D19" s="85">
        <v>14580.64</v>
      </c>
      <c r="E19" s="85">
        <v>38569.9</v>
      </c>
    </row>
    <row r="20" spans="1:5" s="95" customFormat="1" x14ac:dyDescent="0.25">
      <c r="A20" s="94" t="s">
        <v>107</v>
      </c>
      <c r="C20" s="103">
        <f>SUM(C16:C19)</f>
        <v>882899.86</v>
      </c>
      <c r="D20" s="103">
        <f>SUM(D16:D19)</f>
        <v>539956.35</v>
      </c>
      <c r="E20" s="103">
        <f>SUM(E16:E19)</f>
        <v>1422856.21</v>
      </c>
    </row>
    <row r="22" spans="1:5" x14ac:dyDescent="0.25">
      <c r="A22" s="50" t="s">
        <v>108</v>
      </c>
      <c r="B22" s="50" t="s">
        <v>109</v>
      </c>
      <c r="C22" s="85">
        <v>126096.27</v>
      </c>
      <c r="D22" s="85">
        <v>49828.32</v>
      </c>
      <c r="E22" s="85">
        <v>175924.59</v>
      </c>
    </row>
    <row r="23" spans="1:5" x14ac:dyDescent="0.25">
      <c r="A23" s="50" t="s">
        <v>110</v>
      </c>
      <c r="B23" s="50" t="s">
        <v>111</v>
      </c>
      <c r="C23" s="85">
        <v>255752.76</v>
      </c>
      <c r="D23" s="85">
        <v>101063.4</v>
      </c>
      <c r="E23" s="85">
        <v>356816.16</v>
      </c>
    </row>
    <row r="24" spans="1:5" x14ac:dyDescent="0.25">
      <c r="A24" s="50" t="s">
        <v>112</v>
      </c>
      <c r="B24" s="50" t="s">
        <v>113</v>
      </c>
      <c r="C24" s="85">
        <v>45709.39</v>
      </c>
      <c r="D24" s="85">
        <v>18062.57</v>
      </c>
      <c r="E24" s="85">
        <v>63771.96</v>
      </c>
    </row>
    <row r="25" spans="1:5" x14ac:dyDescent="0.25">
      <c r="A25" s="50" t="s">
        <v>114</v>
      </c>
      <c r="B25" s="50" t="s">
        <v>115</v>
      </c>
      <c r="C25" s="85">
        <v>11954.73</v>
      </c>
      <c r="D25" s="85">
        <v>4724.04</v>
      </c>
      <c r="E25" s="85">
        <v>16678.77</v>
      </c>
    </row>
    <row r="26" spans="1:5" s="95" customFormat="1" x14ac:dyDescent="0.25">
      <c r="A26" s="94" t="s">
        <v>116</v>
      </c>
      <c r="C26" s="103">
        <f>SUM(C22:C25)</f>
        <v>439513.15</v>
      </c>
      <c r="D26" s="103">
        <f>SUM(D22:D25)</f>
        <v>173678.33000000002</v>
      </c>
      <c r="E26" s="103">
        <f>SUM(E22:E25)</f>
        <v>613191.48</v>
      </c>
    </row>
    <row r="28" spans="1:5" x14ac:dyDescent="0.25">
      <c r="A28" s="50" t="s">
        <v>117</v>
      </c>
      <c r="B28" s="50" t="s">
        <v>118</v>
      </c>
      <c r="C28" s="85">
        <v>0</v>
      </c>
      <c r="D28" s="85">
        <v>0</v>
      </c>
      <c r="E28" s="85">
        <v>0</v>
      </c>
    </row>
    <row r="29" spans="1:5" x14ac:dyDescent="0.25">
      <c r="A29" s="50" t="s">
        <v>119</v>
      </c>
      <c r="B29" s="50" t="s">
        <v>120</v>
      </c>
      <c r="C29" s="85">
        <v>0</v>
      </c>
      <c r="D29" s="85">
        <v>0</v>
      </c>
      <c r="E29" s="85">
        <v>0</v>
      </c>
    </row>
    <row r="30" spans="1:5" x14ac:dyDescent="0.25">
      <c r="A30" s="50" t="s">
        <v>121</v>
      </c>
      <c r="B30" s="50" t="s">
        <v>122</v>
      </c>
      <c r="C30" s="85">
        <v>0</v>
      </c>
      <c r="D30" s="85">
        <v>0</v>
      </c>
      <c r="E30" s="85">
        <v>0</v>
      </c>
    </row>
    <row r="31" spans="1:5" x14ac:dyDescent="0.25">
      <c r="A31" s="50" t="s">
        <v>123</v>
      </c>
      <c r="B31" s="50" t="s">
        <v>124</v>
      </c>
      <c r="C31" s="85">
        <v>0</v>
      </c>
      <c r="D31" s="85">
        <v>0</v>
      </c>
      <c r="E31" s="85">
        <v>0</v>
      </c>
    </row>
    <row r="32" spans="1:5" s="95" customFormat="1" x14ac:dyDescent="0.25">
      <c r="A32" s="94" t="s">
        <v>125</v>
      </c>
      <c r="C32" s="103">
        <f>SUM(C28:C31)</f>
        <v>0</v>
      </c>
      <c r="D32" s="103">
        <f>SUM(D28:D31)</f>
        <v>0</v>
      </c>
      <c r="E32" s="103">
        <f>SUM(E28:E31)</f>
        <v>0</v>
      </c>
    </row>
    <row r="34" spans="1:5" x14ac:dyDescent="0.25">
      <c r="A34" s="50" t="s">
        <v>126</v>
      </c>
      <c r="B34" s="50" t="s">
        <v>127</v>
      </c>
      <c r="C34" s="85">
        <v>-3963414.29</v>
      </c>
      <c r="D34" s="85">
        <v>13232.04</v>
      </c>
      <c r="E34" s="85">
        <v>-3950182.25</v>
      </c>
    </row>
    <row r="35" spans="1:5" x14ac:dyDescent="0.25">
      <c r="A35" s="50" t="s">
        <v>128</v>
      </c>
      <c r="B35" s="50" t="s">
        <v>129</v>
      </c>
      <c r="C35" s="85">
        <v>1136771.3999999999</v>
      </c>
      <c r="D35" s="85">
        <v>1471913.23</v>
      </c>
      <c r="E35" s="85">
        <v>2608684.63</v>
      </c>
    </row>
    <row r="36" spans="1:5" x14ac:dyDescent="0.25">
      <c r="A36" s="50" t="s">
        <v>130</v>
      </c>
      <c r="B36" s="50" t="s">
        <v>131</v>
      </c>
      <c r="C36" s="85">
        <v>202745.89</v>
      </c>
      <c r="D36" s="85">
        <v>262976.58</v>
      </c>
      <c r="E36" s="85">
        <v>465722.47</v>
      </c>
    </row>
    <row r="37" spans="1:5" x14ac:dyDescent="0.25">
      <c r="A37" s="50" t="s">
        <v>132</v>
      </c>
      <c r="B37" s="50" t="s">
        <v>133</v>
      </c>
      <c r="C37" s="85">
        <v>52470.89</v>
      </c>
      <c r="D37" s="85">
        <v>68858.990000000005</v>
      </c>
      <c r="E37" s="85">
        <v>121329.88</v>
      </c>
    </row>
    <row r="38" spans="1:5" s="95" customFormat="1" x14ac:dyDescent="0.25">
      <c r="A38" s="94" t="s">
        <v>134</v>
      </c>
      <c r="C38" s="103">
        <f>SUM(C34:C37)</f>
        <v>-2571426.11</v>
      </c>
      <c r="D38" s="103">
        <f>SUM(D34:D37)</f>
        <v>1816980.84</v>
      </c>
      <c r="E38" s="103">
        <f>SUM(E34:E37)</f>
        <v>-754445.27000000014</v>
      </c>
    </row>
    <row r="40" spans="1:5" x14ac:dyDescent="0.25">
      <c r="A40" s="50" t="s">
        <v>135</v>
      </c>
      <c r="B40" s="50" t="s">
        <v>136</v>
      </c>
      <c r="C40" s="85">
        <v>-421913771.55000001</v>
      </c>
      <c r="D40" s="85">
        <v>-143164504.66999999</v>
      </c>
      <c r="E40" s="85">
        <v>-565078276.22000003</v>
      </c>
    </row>
    <row r="41" spans="1:5" x14ac:dyDescent="0.25">
      <c r="A41" s="50" t="s">
        <v>137</v>
      </c>
      <c r="B41" s="50" t="s">
        <v>138</v>
      </c>
      <c r="C41" s="85">
        <v>-752938079.76999998</v>
      </c>
      <c r="D41" s="85">
        <v>-421898170</v>
      </c>
      <c r="E41" s="85">
        <v>-1174836249.77</v>
      </c>
    </row>
    <row r="42" spans="1:5" x14ac:dyDescent="0.25">
      <c r="A42" s="50" t="s">
        <v>139</v>
      </c>
      <c r="B42" s="50" t="s">
        <v>140</v>
      </c>
      <c r="C42" s="85">
        <v>-135377118.37</v>
      </c>
      <c r="D42" s="85">
        <v>-67041004</v>
      </c>
      <c r="E42" s="85">
        <v>-202418122.37</v>
      </c>
    </row>
    <row r="43" spans="1:5" x14ac:dyDescent="0.25">
      <c r="A43" s="50" t="s">
        <v>141</v>
      </c>
      <c r="B43" s="50" t="s">
        <v>142</v>
      </c>
      <c r="C43" s="85">
        <v>-3315978.68</v>
      </c>
      <c r="D43" s="85">
        <v>-2458361.5499999998</v>
      </c>
      <c r="E43" s="85">
        <v>-5774340.2300000004</v>
      </c>
    </row>
    <row r="44" spans="1:5" s="95" customFormat="1" x14ac:dyDescent="0.25">
      <c r="A44" s="94" t="s">
        <v>143</v>
      </c>
      <c r="C44" s="103">
        <f>SUM(C40:C43)</f>
        <v>-1313544948.3700001</v>
      </c>
      <c r="D44" s="103">
        <f>SUM(D40:D43)</f>
        <v>-634562040.21999991</v>
      </c>
      <c r="E44" s="103">
        <f>SUM(E40:E43)</f>
        <v>-1948106988.5900002</v>
      </c>
    </row>
    <row r="46" spans="1:5" s="95" customFormat="1" x14ac:dyDescent="0.25">
      <c r="A46" s="94" t="s">
        <v>144</v>
      </c>
      <c r="B46" s="94" t="s">
        <v>39</v>
      </c>
      <c r="C46" s="103">
        <v>0</v>
      </c>
      <c r="D46" s="103">
        <v>0</v>
      </c>
      <c r="E46" s="103">
        <v>0</v>
      </c>
    </row>
    <row r="47" spans="1:5" x14ac:dyDescent="0.25">
      <c r="A47" s="50" t="s">
        <v>145</v>
      </c>
    </row>
    <row r="50" spans="1:5" x14ac:dyDescent="0.25">
      <c r="A50" s="50" t="s">
        <v>146</v>
      </c>
      <c r="B50" s="50" t="s">
        <v>80</v>
      </c>
      <c r="C50" s="85">
        <v>0</v>
      </c>
      <c r="D50" s="85">
        <v>0</v>
      </c>
      <c r="E50" s="85">
        <v>0</v>
      </c>
    </row>
    <row r="51" spans="1:5" x14ac:dyDescent="0.25">
      <c r="A51" s="50" t="s">
        <v>147</v>
      </c>
      <c r="B51" s="50" t="s">
        <v>81</v>
      </c>
      <c r="C51" s="85">
        <v>0</v>
      </c>
      <c r="D51" s="85">
        <v>0</v>
      </c>
      <c r="E51" s="85">
        <v>0</v>
      </c>
    </row>
    <row r="52" spans="1:5" x14ac:dyDescent="0.25">
      <c r="A52" s="50" t="s">
        <v>148</v>
      </c>
      <c r="B52" s="50" t="s">
        <v>82</v>
      </c>
      <c r="C52" s="85">
        <v>0</v>
      </c>
      <c r="D52" s="85">
        <v>0</v>
      </c>
      <c r="E52" s="85">
        <v>0</v>
      </c>
    </row>
    <row r="53" spans="1:5" x14ac:dyDescent="0.25">
      <c r="A53" s="50" t="s">
        <v>149</v>
      </c>
      <c r="B53" s="50" t="s">
        <v>83</v>
      </c>
      <c r="C53" s="85">
        <v>0</v>
      </c>
      <c r="D53" s="85">
        <v>0</v>
      </c>
      <c r="E53" s="85">
        <v>0</v>
      </c>
    </row>
    <row r="54" spans="1:5" s="95" customFormat="1" x14ac:dyDescent="0.25">
      <c r="A54" s="94" t="s">
        <v>150</v>
      </c>
      <c r="C54" s="103">
        <f>SUM(C50:C53)</f>
        <v>0</v>
      </c>
      <c r="D54" s="103">
        <f>SUM(D50:D53)</f>
        <v>0</v>
      </c>
      <c r="E54" s="103">
        <f>SUM(E50:E53)</f>
        <v>0</v>
      </c>
    </row>
    <row r="56" spans="1:5" x14ac:dyDescent="0.25">
      <c r="A56" s="104" t="s">
        <v>151</v>
      </c>
      <c r="B56" s="104" t="s">
        <v>40</v>
      </c>
      <c r="C56" s="105">
        <v>-10804475.48</v>
      </c>
      <c r="D56" s="105">
        <v>-9941372.9499999993</v>
      </c>
      <c r="E56" s="105">
        <v>-20745848.43</v>
      </c>
    </row>
    <row r="57" spans="1:5" x14ac:dyDescent="0.25">
      <c r="A57" s="104" t="s">
        <v>152</v>
      </c>
      <c r="B57" s="104" t="s">
        <v>41</v>
      </c>
      <c r="C57" s="105">
        <v>-2023040.05</v>
      </c>
      <c r="D57" s="105">
        <v>-4228066.96</v>
      </c>
      <c r="E57" s="105">
        <v>-6251107.0099999998</v>
      </c>
    </row>
    <row r="58" spans="1:5" x14ac:dyDescent="0.25">
      <c r="A58" s="104" t="s">
        <v>153</v>
      </c>
      <c r="B58" s="104" t="s">
        <v>42</v>
      </c>
      <c r="C58" s="105">
        <v>-756681.23</v>
      </c>
      <c r="D58" s="105">
        <v>-318177.17</v>
      </c>
      <c r="E58" s="105">
        <v>-1074858.3999999999</v>
      </c>
    </row>
    <row r="59" spans="1:5" x14ac:dyDescent="0.25">
      <c r="A59" s="104" t="s">
        <v>154</v>
      </c>
      <c r="B59" s="104" t="s">
        <v>43</v>
      </c>
      <c r="C59" s="105">
        <v>-1361861.09</v>
      </c>
      <c r="D59" s="105">
        <v>-745215.3</v>
      </c>
      <c r="E59" s="105">
        <v>-2107076.39</v>
      </c>
    </row>
    <row r="60" spans="1:5" s="95" customFormat="1" x14ac:dyDescent="0.25">
      <c r="A60" s="106" t="s">
        <v>155</v>
      </c>
      <c r="B60" s="107"/>
      <c r="C60" s="108">
        <v>-14946057.850000001</v>
      </c>
      <c r="D60" s="108">
        <v>-15232832.380000001</v>
      </c>
      <c r="E60" s="108">
        <v>-30178890.229999997</v>
      </c>
    </row>
    <row r="62" spans="1:5" x14ac:dyDescent="0.25">
      <c r="A62" s="50" t="s">
        <v>156</v>
      </c>
      <c r="B62" s="50" t="s">
        <v>157</v>
      </c>
      <c r="C62" s="85">
        <v>14231559.960000001</v>
      </c>
      <c r="D62" s="85">
        <v>6121965.1699999999</v>
      </c>
      <c r="E62" s="85">
        <v>20353525.129999999</v>
      </c>
    </row>
    <row r="63" spans="1:5" x14ac:dyDescent="0.25">
      <c r="A63" s="50" t="s">
        <v>158</v>
      </c>
      <c r="B63" s="50" t="s">
        <v>159</v>
      </c>
      <c r="C63" s="85">
        <v>1445738.96</v>
      </c>
      <c r="D63" s="85">
        <v>587189.65</v>
      </c>
      <c r="E63" s="85">
        <v>2032928.61</v>
      </c>
    </row>
    <row r="64" spans="1:5" x14ac:dyDescent="0.25">
      <c r="A64" s="50" t="s">
        <v>160</v>
      </c>
      <c r="B64" s="50" t="s">
        <v>161</v>
      </c>
      <c r="C64" s="85">
        <v>525214.77</v>
      </c>
      <c r="D64" s="85">
        <v>223511.17</v>
      </c>
      <c r="E64" s="85">
        <v>748725.94</v>
      </c>
    </row>
    <row r="65" spans="1:5" x14ac:dyDescent="0.25">
      <c r="A65" s="50" t="s">
        <v>162</v>
      </c>
      <c r="B65" s="50" t="s">
        <v>163</v>
      </c>
      <c r="C65" s="85">
        <v>781549.28</v>
      </c>
      <c r="D65" s="85">
        <v>368416.9</v>
      </c>
      <c r="E65" s="85">
        <v>1149966.18</v>
      </c>
    </row>
    <row r="66" spans="1:5" s="95" customFormat="1" x14ac:dyDescent="0.25">
      <c r="A66" s="94" t="s">
        <v>164</v>
      </c>
      <c r="C66" s="103">
        <f>SUM(C62:C65)</f>
        <v>16984062.970000003</v>
      </c>
      <c r="D66" s="103">
        <f>SUM(D62:D65)</f>
        <v>7301082.8900000006</v>
      </c>
      <c r="E66" s="103">
        <f>SUM(E62:E65)</f>
        <v>24285145.859999999</v>
      </c>
    </row>
    <row r="68" spans="1:5" s="95" customFormat="1" x14ac:dyDescent="0.25">
      <c r="A68" s="94" t="s">
        <v>31</v>
      </c>
      <c r="C68" s="103">
        <f>C14+C20+C26+C32+C38+C44+C46+C54+C60+C66</f>
        <v>-33400587.629999999</v>
      </c>
      <c r="D68" s="103">
        <f>D14+D20+D26+D32+D38+D44+D46+D54+D60+D66</f>
        <v>-3038134.9999998715</v>
      </c>
      <c r="E68" s="103">
        <f>E14+E20+E26+E32+E38+E44+E46+E54+E60+E66</f>
        <v>-36438722.629999988</v>
      </c>
    </row>
  </sheetData>
  <phoneticPr fontId="0" type="noConversion"/>
  <pageMargins left="0.75" right="0.75" top="0.75" bottom="0.75" header="0.5" footer="0.5"/>
  <pageSetup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L298"/>
  <sheetViews>
    <sheetView zoomScale="105" zoomScaleNormal="110" zoomScaleSheetLayoutView="75" workbookViewId="0">
      <pane xSplit="1" ySplit="7" topLeftCell="B142" activePane="bottomRight" state="frozen"/>
      <selection pane="topRight" activeCell="B1" sqref="B1"/>
      <selection pane="bottomLeft" activeCell="A10" sqref="A10"/>
      <selection pane="bottomRight" activeCell="G168" sqref="G168"/>
    </sheetView>
  </sheetViews>
  <sheetFormatPr defaultColWidth="9.109375" defaultRowHeight="13.2" x14ac:dyDescent="0.25"/>
  <cols>
    <col min="1" max="1" width="28.44140625" style="2" customWidth="1"/>
    <col min="2" max="6" width="18.6640625" style="1" customWidth="1"/>
    <col min="7" max="11" width="17.44140625" style="10" customWidth="1"/>
    <col min="12" max="12" width="12.33203125" style="1" customWidth="1"/>
    <col min="13" max="16384" width="9.109375" style="1"/>
  </cols>
  <sheetData>
    <row r="1" spans="1:11" ht="15.6" x14ac:dyDescent="0.3">
      <c r="A1" s="602" t="s">
        <v>0</v>
      </c>
      <c r="B1" s="602"/>
      <c r="C1" s="602"/>
      <c r="D1" s="602"/>
      <c r="E1" s="602"/>
      <c r="F1" s="602"/>
      <c r="G1" s="84"/>
      <c r="H1" s="84"/>
    </row>
    <row r="2" spans="1:11" ht="15.6" x14ac:dyDescent="0.3">
      <c r="A2" s="602" t="s">
        <v>1</v>
      </c>
      <c r="B2" s="602"/>
      <c r="C2" s="602"/>
      <c r="D2" s="602"/>
      <c r="E2" s="602"/>
      <c r="F2" s="602"/>
      <c r="G2" s="84"/>
      <c r="H2" s="84"/>
    </row>
    <row r="3" spans="1:11" ht="15.6" x14ac:dyDescent="0.3">
      <c r="A3" s="602">
        <v>2008</v>
      </c>
      <c r="B3" s="602"/>
      <c r="C3" s="602"/>
      <c r="D3" s="602"/>
      <c r="E3" s="602"/>
      <c r="F3" s="602"/>
      <c r="G3" s="84"/>
      <c r="H3" s="84"/>
      <c r="J3" s="85"/>
    </row>
    <row r="4" spans="1:11" ht="12.75" customHeight="1" x14ac:dyDescent="0.25">
      <c r="B4" s="3"/>
      <c r="C4" s="3"/>
      <c r="D4" s="3"/>
      <c r="E4" s="3"/>
      <c r="F4" s="3"/>
      <c r="G4" s="86"/>
      <c r="H4" s="86"/>
      <c r="I4" s="10">
        <v>414711.93</v>
      </c>
      <c r="J4" s="23">
        <f>+H36+I4</f>
        <v>-2256690.8199999998</v>
      </c>
    </row>
    <row r="5" spans="1:11" s="7" customFormat="1" ht="12.75" customHeight="1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4"/>
      <c r="H5" s="64"/>
      <c r="J5" s="38"/>
    </row>
    <row r="6" spans="1:11" s="10" customFormat="1" ht="12.75" customHeight="1" x14ac:dyDescent="0.25">
      <c r="A6" s="8"/>
      <c r="B6" s="9"/>
      <c r="C6" s="9"/>
      <c r="D6" s="9"/>
      <c r="E6" s="9"/>
      <c r="F6" s="9"/>
      <c r="G6" s="9"/>
      <c r="H6" s="9"/>
    </row>
    <row r="7" spans="1:11" s="10" customFormat="1" ht="12.75" customHeight="1" thickBot="1" x14ac:dyDescent="0.3">
      <c r="A7" s="11" t="s">
        <v>28</v>
      </c>
      <c r="B7" s="12">
        <f>'[11]2007 Accrual Monthly'!$B$175</f>
        <v>4468367375.4443712</v>
      </c>
      <c r="C7" s="12">
        <f>'[11]2007 Accrual Monthly'!$C$175</f>
        <v>464289719.64157641</v>
      </c>
      <c r="D7" s="12">
        <f>'[11]2007 Accrual Monthly'!$D$175</f>
        <v>93921847.696124822</v>
      </c>
      <c r="E7" s="12">
        <f>'[11]2007 Accrual Monthly'!$E$175</f>
        <v>149972208.09502321</v>
      </c>
      <c r="F7" s="12">
        <f>SUM(B7:E7)</f>
        <v>5176551150.8770962</v>
      </c>
      <c r="G7" s="33"/>
      <c r="H7" s="33"/>
      <c r="I7" s="13"/>
    </row>
    <row r="8" spans="1:11" s="10" customFormat="1" ht="12.75" customHeight="1" thickTop="1" x14ac:dyDescent="0.25">
      <c r="A8" s="11"/>
      <c r="B8" s="33"/>
      <c r="C8" s="33"/>
      <c r="D8" s="33"/>
      <c r="E8" s="33"/>
      <c r="F8" s="33"/>
      <c r="G8" s="33"/>
      <c r="H8" s="33"/>
      <c r="I8" s="13"/>
    </row>
    <row r="9" spans="1:11" s="10" customFormat="1" ht="12.75" customHeight="1" x14ac:dyDescent="0.25">
      <c r="A9" s="8"/>
      <c r="B9" s="14"/>
      <c r="C9" s="14"/>
      <c r="E9" s="14"/>
      <c r="F9" s="14"/>
      <c r="G9" s="19" t="s">
        <v>32</v>
      </c>
      <c r="H9" s="19" t="s">
        <v>32</v>
      </c>
      <c r="I9" s="19" t="s">
        <v>31</v>
      </c>
      <c r="J9" s="19" t="s">
        <v>31</v>
      </c>
    </row>
    <row r="10" spans="1:11" s="10" customFormat="1" ht="12.75" customHeight="1" x14ac:dyDescent="0.25">
      <c r="A10" s="15" t="s">
        <v>7</v>
      </c>
      <c r="B10" s="14"/>
      <c r="C10" s="14"/>
      <c r="D10" s="14"/>
      <c r="E10" s="14"/>
      <c r="F10" s="14"/>
      <c r="G10" s="19" t="s">
        <v>44</v>
      </c>
      <c r="H10" s="20" t="s">
        <v>45</v>
      </c>
      <c r="I10" s="19" t="s">
        <v>44</v>
      </c>
      <c r="J10" s="20" t="s">
        <v>45</v>
      </c>
      <c r="K10" s="19" t="s">
        <v>85</v>
      </c>
    </row>
    <row r="11" spans="1:11" s="10" customFormat="1" ht="12.75" customHeight="1" x14ac:dyDescent="0.25">
      <c r="A11" s="8" t="s">
        <v>8</v>
      </c>
      <c r="B11" s="14">
        <f>-'[10]Jan 2008 TB (Final)'!F197</f>
        <v>171493079.33000001</v>
      </c>
      <c r="C11" s="14">
        <f>-'[10]Jan 2008 TB (Final)'!F198</f>
        <v>333958079.49000001</v>
      </c>
      <c r="D11" s="14">
        <f>-'[10]Jan 2008 TB (Final)'!F199</f>
        <v>69158905.829999998</v>
      </c>
      <c r="E11" s="14">
        <f>-'[10]Jan 2008 TB (Final)'!F200</f>
        <v>7031692.1699999999</v>
      </c>
      <c r="F11" s="14">
        <f t="shared" ref="F11:F19" si="0">SUM(B11:E11)</f>
        <v>581641756.82000005</v>
      </c>
      <c r="G11" s="14">
        <f>'[11]2007 Accrual Monthly'!$F$118+'[11]2007 Accrual Monthly'!$F$153+'[11]2007 Accrual Monthly'!$F$167+F11</f>
        <v>2457817500.1900001</v>
      </c>
      <c r="H11" s="14">
        <f>SUM('[10]Jan 2008 TB (Final)'!G197:G200)</f>
        <v>-2457817500.1899996</v>
      </c>
      <c r="I11" s="13">
        <f t="shared" ref="I11:I18" si="1">F11</f>
        <v>581641756.82000005</v>
      </c>
      <c r="J11" s="23">
        <f>SUM('[10]Jan 2008 TB (Final)'!F197:F200)</f>
        <v>-581641756.82000005</v>
      </c>
      <c r="K11" s="52">
        <f t="shared" ref="K11:K18" si="2">+J11+I11</f>
        <v>0</v>
      </c>
    </row>
    <row r="12" spans="1:11" s="10" customFormat="1" ht="12.75" customHeight="1" x14ac:dyDescent="0.25">
      <c r="A12" s="8" t="s">
        <v>9</v>
      </c>
      <c r="B12" s="14">
        <f>-SUM('[10]Jan 2008 TB (Final)'!F185+'[10]Jan 2008 TB (Final)'!F202)</f>
        <v>217525.07</v>
      </c>
      <c r="C12" s="14">
        <f>-'[10]Jan 2008 TB (Final)'!F186+'[10]Jan 2008 TB (Final)'!F203</f>
        <v>424633.67</v>
      </c>
      <c r="D12" s="14">
        <f>-'[10]Jan 2008 TB (Final)'!F187+'[10]Jan 2008 TB (Final)'!F204</f>
        <v>87707.74</v>
      </c>
      <c r="E12" s="14">
        <f>-'[10]Jan 2008 TB (Final)'!F188+'[10]Jan 2008 TB (Final)'!F205</f>
        <v>9010.6299999999992</v>
      </c>
      <c r="F12" s="14">
        <f t="shared" si="0"/>
        <v>738877.11</v>
      </c>
      <c r="G12" s="14">
        <f>'[10]2007 Accrual Monthly'!G168+F12</f>
        <v>1621756.02</v>
      </c>
      <c r="H12" s="65">
        <f>SUM('[10]Jan 2008 TB (Final)'!G185:G188,'[10]Jan 2008 TB (Final)'!G201:G204)</f>
        <v>-1621756.02</v>
      </c>
      <c r="I12" s="13">
        <f t="shared" si="1"/>
        <v>738877.11</v>
      </c>
      <c r="J12" s="13">
        <f>SUM('[10]Jan 2008 TB (Final)'!F185:F188,'[10]Jan 2008 TB (Final)'!F201:F205)</f>
        <v>-738877.11</v>
      </c>
      <c r="K12" s="52">
        <f t="shared" si="2"/>
        <v>0</v>
      </c>
    </row>
    <row r="13" spans="1:11" s="10" customFormat="1" ht="12.75" customHeight="1" x14ac:dyDescent="0.25">
      <c r="A13" s="8" t="s">
        <v>10</v>
      </c>
      <c r="B13" s="14">
        <f>-'[10]Jan 2008 TB (Final)'!F189+'[10]Jan 2008 TB (Final)'!F206</f>
        <v>-1794.19</v>
      </c>
      <c r="C13" s="14">
        <f>-'[10]Jan 2008 TB (Final)'!F190+'[10]Jan 2008 TB (Final)'!F207</f>
        <v>-3502.46</v>
      </c>
      <c r="D13" s="14">
        <f>-'[10]Jan 2008 TB (Final)'!F191+'[10]Jan 2008 TB (Final)'!F208</f>
        <v>-723.41</v>
      </c>
      <c r="E13" s="14">
        <f>-'[10]Jan 2008 TB (Final)'!F192+'[10]Jan 2008 TB (Final)'!F209</f>
        <v>-74.349999999999994</v>
      </c>
      <c r="F13" s="14">
        <f t="shared" si="0"/>
        <v>-6094.41</v>
      </c>
      <c r="G13" s="14">
        <f>'[10]2007 Accrual Monthly'!G169+'2008 Accrual Monthly'!F13</f>
        <v>76783.01999999999</v>
      </c>
      <c r="H13" s="14">
        <f>SUM('[10]Jan 2008 TB (Final)'!G189:G192,'[10]Jan 2008 TB (Final)'!G206:G209)</f>
        <v>-76783.02</v>
      </c>
      <c r="I13" s="13">
        <f t="shared" si="1"/>
        <v>-6094.41</v>
      </c>
      <c r="J13" s="13">
        <f>SUM('[10]Jan 2008 TB (Final)'!F189:F192,'[10]Jan 2008 TB (Final)'!F206:F209)</f>
        <v>6094.41</v>
      </c>
      <c r="K13" s="52">
        <f t="shared" si="2"/>
        <v>0</v>
      </c>
    </row>
    <row r="14" spans="1:11" s="10" customFormat="1" ht="12.75" customHeight="1" x14ac:dyDescent="0.25">
      <c r="A14" s="8" t="s">
        <v>11</v>
      </c>
      <c r="B14" s="14">
        <f>'[10]Jan 2008 TB (Final)'!F193</f>
        <v>0</v>
      </c>
      <c r="C14" s="14">
        <f>'[10]Jan 2008 TB (Final)'!F194</f>
        <v>0</v>
      </c>
      <c r="D14" s="14">
        <f>'[10]Jan 2008 TB (Final)'!F195</f>
        <v>0</v>
      </c>
      <c r="E14" s="14">
        <f>'[10]Jan 2008 TB (Final)'!F196</f>
        <v>0</v>
      </c>
      <c r="F14" s="14">
        <f t="shared" si="0"/>
        <v>0</v>
      </c>
      <c r="G14" s="14">
        <f>'[10]2007 Accrual Monthly'!G170+F14</f>
        <v>0</v>
      </c>
      <c r="H14" s="14">
        <f>SUM('[10]Jan 2008 TB (Final)'!G193:G196)</f>
        <v>0</v>
      </c>
      <c r="I14" s="13">
        <f t="shared" si="1"/>
        <v>0</v>
      </c>
      <c r="J14" s="13">
        <f>SUM('[10]Jan 2008 TB (Final)'!F193:F196)</f>
        <v>0</v>
      </c>
      <c r="K14" s="52">
        <f t="shared" si="2"/>
        <v>0</v>
      </c>
    </row>
    <row r="15" spans="1:11" s="10" customFormat="1" ht="12.75" customHeight="1" x14ac:dyDescent="0.25">
      <c r="A15" s="8" t="s">
        <v>12</v>
      </c>
      <c r="B15" s="14">
        <f>-'[10]Jan 2008 TB (Final)'!F233</f>
        <v>124224.5</v>
      </c>
      <c r="C15" s="14">
        <f>-'[10]Jan 2008 TB (Final)'!F234</f>
        <v>228489.73</v>
      </c>
      <c r="D15" s="14">
        <f>-'[10]Jan 2008 TB (Final)'!F235</f>
        <v>253677.53</v>
      </c>
      <c r="E15" s="14">
        <f>-'[10]Jan 2008 TB (Final)'!F236</f>
        <v>132084.64000000001</v>
      </c>
      <c r="F15" s="14">
        <f t="shared" si="0"/>
        <v>738476.4</v>
      </c>
      <c r="G15" s="14">
        <f>'[10]2007 Accrual Monthly'!G171+F15</f>
        <v>-3540520.6300000004</v>
      </c>
      <c r="H15" s="14">
        <f>SUM('[10]Jan 2008 TB (Final)'!G233:G236)</f>
        <v>3540520.6300000008</v>
      </c>
      <c r="I15" s="13">
        <f t="shared" si="1"/>
        <v>738476.4</v>
      </c>
      <c r="J15" s="13">
        <f>SUM('[10]Jan 2008 TB (Final)'!F233:F236)</f>
        <v>-738476.4</v>
      </c>
      <c r="K15" s="52">
        <f t="shared" si="2"/>
        <v>0</v>
      </c>
    </row>
    <row r="16" spans="1:11" s="10" customFormat="1" ht="12.75" customHeight="1" x14ac:dyDescent="0.25">
      <c r="A16" s="8" t="s">
        <v>13</v>
      </c>
      <c r="B16" s="14">
        <f>-SUM('[10]Jan 2008 TB (Final)'!F220+'[10]Jan 2008 TB (Final)'!F229)</f>
        <v>-130980231.39</v>
      </c>
      <c r="C16" s="14">
        <f>-SUM('[10]Jan 2008 TB (Final)'!F221+'[10]Jan 2008 TB (Final)'!F230)</f>
        <v>-371677805.70999998</v>
      </c>
      <c r="D16" s="14">
        <f>-SUM('[10]Jan 2008 TB (Final)'!F222+'[10]Jan 2008 TB (Final)'!F231)</f>
        <v>-69090461.200000003</v>
      </c>
      <c r="E16" s="14">
        <f>-SUM(('[10]Jan 2008 TB (Final)'!F223,'[10]Jan 2008 TB (Final)'!F232))</f>
        <v>-9832262.9700000007</v>
      </c>
      <c r="F16" s="14">
        <f t="shared" si="0"/>
        <v>-581580761.26999998</v>
      </c>
      <c r="G16" s="14">
        <f>'[10]2007 Accrual Monthly'!G172+F16</f>
        <v>-2438114915.8600001</v>
      </c>
      <c r="H16" s="14">
        <f>SUM('[10]Jan 2008 TB (Final)'!G220:G223,'[10]Jan 2008 TB (Final)'!G229:G232)</f>
        <v>2438114915.8599997</v>
      </c>
      <c r="I16" s="13">
        <f t="shared" si="1"/>
        <v>-581580761.26999998</v>
      </c>
      <c r="J16" s="13">
        <f>SUM('[10]Jan 2008 TB (Final)'!F220:F223,'[10]Jan 2008 TB (Final)'!F229:F232)</f>
        <v>581580761.26999998</v>
      </c>
      <c r="K16" s="52">
        <f t="shared" si="2"/>
        <v>0</v>
      </c>
    </row>
    <row r="17" spans="1:11" s="10" customFormat="1" ht="12.75" customHeight="1" x14ac:dyDescent="0.25">
      <c r="A17" s="8" t="s">
        <v>14</v>
      </c>
      <c r="B17" s="14">
        <f>-'[10]Jan 2008 TB (Final)'!F225</f>
        <v>-9240731.2799999993</v>
      </c>
      <c r="C17" s="26">
        <f>-'[10]Jan 2008 TB (Final)'!F226</f>
        <v>3202828.9</v>
      </c>
      <c r="D17" s="26">
        <f>-'[10]Jan 2008 TB (Final)'!F227</f>
        <v>818371.28</v>
      </c>
      <c r="E17" s="26">
        <f>-'[10]Jan 2008 TB (Final)'!F228</f>
        <v>-1094165.5900000001</v>
      </c>
      <c r="F17" s="14">
        <f t="shared" si="0"/>
        <v>-6313696.6899999985</v>
      </c>
      <c r="G17" s="14">
        <f>'[10]2007 Accrual Monthly'!G173+'2008 Accrual Monthly'!F17</f>
        <v>-29851038.749999996</v>
      </c>
      <c r="H17" s="14">
        <f>SUM('[10]Jan 2008 TB (Final)'!G225:G228)</f>
        <v>29851038.75</v>
      </c>
      <c r="I17" s="13">
        <f t="shared" si="1"/>
        <v>-6313696.6899999985</v>
      </c>
      <c r="J17" s="13">
        <f>SUM('[10]Jan 2008 TB (Final)'!F225:F228)</f>
        <v>6313696.6899999985</v>
      </c>
      <c r="K17" s="52">
        <f t="shared" si="2"/>
        <v>0</v>
      </c>
    </row>
    <row r="18" spans="1:11" s="10" customFormat="1" ht="12.75" customHeight="1" x14ac:dyDescent="0.25">
      <c r="A18" s="8" t="s">
        <v>15</v>
      </c>
      <c r="B18" s="14">
        <f>-SUM('[10]Jan 2008 TB (Final)'!F177,'[10]Jan 2008 TB (Final)'!F181)</f>
        <v>14760371.939999999</v>
      </c>
      <c r="C18" s="26">
        <f>-SUM('[10]Jan 2008 TB (Final)'!F178,'[10]Jan 2008 TB (Final)'!F182)</f>
        <v>1585053.13</v>
      </c>
      <c r="D18" s="26">
        <f>-SUM('[10]Jan 2008 TB (Final)'!F179,'[10]Jan 2008 TB (Final)'!F183)</f>
        <v>582773.12</v>
      </c>
      <c r="E18" s="26">
        <f>-SUM('[10]Jan 2008 TB (Final)'!F180,'[10]Jan 2008 TB (Final)'!F184)</f>
        <v>561654.11</v>
      </c>
      <c r="F18" s="14">
        <f t="shared" si="0"/>
        <v>17489852.300000001</v>
      </c>
      <c r="G18" s="14">
        <f>'[10]2007 Accrual Monthly'!G174+F18</f>
        <v>72943993.200000003</v>
      </c>
      <c r="H18" s="14">
        <f>SUM('[10]Jan 2008 TB (Final)'!G177:G184)</f>
        <v>-72943993.200000003</v>
      </c>
      <c r="I18" s="13">
        <f t="shared" si="1"/>
        <v>17489852.300000001</v>
      </c>
      <c r="J18" s="13">
        <f>SUM('[10]Jan 2008 TB (Final)'!F177:F184)</f>
        <v>-17489852.300000001</v>
      </c>
      <c r="K18" s="52">
        <f t="shared" si="2"/>
        <v>0</v>
      </c>
    </row>
    <row r="19" spans="1:11" s="20" customFormat="1" ht="12.75" customHeight="1" thickBot="1" x14ac:dyDescent="0.3">
      <c r="A19" s="16" t="s">
        <v>16</v>
      </c>
      <c r="B19" s="17">
        <f>SUM(B7:B18)</f>
        <v>4514739819.4243708</v>
      </c>
      <c r="C19" s="35">
        <f>SUM(C7:C18)</f>
        <v>432007496.39157635</v>
      </c>
      <c r="D19" s="35">
        <f>SUM(D7:D18)</f>
        <v>95732098.586124852</v>
      </c>
      <c r="E19" s="35">
        <f>SUM(E7:E18)</f>
        <v>146780146.7350232</v>
      </c>
      <c r="F19" s="18">
        <f t="shared" si="0"/>
        <v>5189259561.1370955</v>
      </c>
      <c r="G19" s="33">
        <f>SUM(G11:G18)</f>
        <v>60953557.189999774</v>
      </c>
      <c r="H19" s="33">
        <f>SUM(H11:H18)</f>
        <v>-60953557.189999774</v>
      </c>
      <c r="I19" s="33">
        <f>SUM(I11:I18)</f>
        <v>12708410.260000098</v>
      </c>
      <c r="J19" s="33">
        <f>SUM(J11:J18)</f>
        <v>-12708410.260000098</v>
      </c>
    </row>
    <row r="20" spans="1:11" s="20" customFormat="1" ht="12.75" customHeight="1" thickTop="1" x14ac:dyDescent="0.25">
      <c r="A20" s="16"/>
      <c r="B20" s="60"/>
      <c r="C20" s="67"/>
      <c r="D20" s="67"/>
      <c r="E20" s="67"/>
      <c r="F20" s="33"/>
      <c r="G20" s="33"/>
      <c r="H20" s="33"/>
      <c r="I20" s="33"/>
      <c r="J20" s="33"/>
    </row>
    <row r="21" spans="1:11" s="10" customFormat="1" ht="12.75" customHeight="1" x14ac:dyDescent="0.25">
      <c r="A21" s="8"/>
      <c r="B21" s="13"/>
      <c r="C21" s="24">
        <f>+D21-E21</f>
        <v>2457817500.1899996</v>
      </c>
      <c r="D21" s="25">
        <f>+SUM(E21+F21+F11)</f>
        <v>2457878890.4499998</v>
      </c>
      <c r="E21" s="8">
        <v>61390.26</v>
      </c>
      <c r="F21" s="13">
        <v>1876175743.3699999</v>
      </c>
      <c r="G21" s="19" t="s">
        <v>32</v>
      </c>
      <c r="H21" s="19" t="s">
        <v>32</v>
      </c>
      <c r="I21" s="19" t="s">
        <v>31</v>
      </c>
      <c r="J21" s="19" t="s">
        <v>31</v>
      </c>
    </row>
    <row r="22" spans="1:11" s="10" customFormat="1" ht="12.75" customHeight="1" x14ac:dyDescent="0.25">
      <c r="A22" s="15" t="s">
        <v>17</v>
      </c>
      <c r="B22" s="21"/>
      <c r="C22" s="36"/>
      <c r="D22" s="36"/>
      <c r="E22" s="36"/>
      <c r="F22" s="21"/>
      <c r="G22" s="19" t="s">
        <v>44</v>
      </c>
      <c r="H22" s="20" t="s">
        <v>45</v>
      </c>
      <c r="I22" s="19" t="s">
        <v>44</v>
      </c>
      <c r="J22" s="20" t="s">
        <v>45</v>
      </c>
      <c r="K22" s="19" t="s">
        <v>85</v>
      </c>
    </row>
    <row r="23" spans="1:11" s="10" customFormat="1" ht="12.75" customHeight="1" x14ac:dyDescent="0.25">
      <c r="A23" s="8" t="s">
        <v>8</v>
      </c>
      <c r="B23" s="14">
        <f>-'[10]Feb TB'!F197</f>
        <v>173225336.91999999</v>
      </c>
      <c r="C23" s="26">
        <f>-'[10]Feb TB'!F198</f>
        <v>338141373.88</v>
      </c>
      <c r="D23" s="26">
        <f>-'[10]Feb TB'!F199</f>
        <v>69817660.739999995</v>
      </c>
      <c r="E23" s="26">
        <f>-'[10]Feb TB'!F200</f>
        <v>7166306.0300000003</v>
      </c>
      <c r="F23" s="33">
        <f t="shared" ref="F23:F31" si="3">SUM(B23:E23)</f>
        <v>588350677.56999993</v>
      </c>
      <c r="G23" s="14">
        <f>+F23+G11</f>
        <v>3046168177.7600002</v>
      </c>
      <c r="H23" s="14">
        <f>SUM('[10]Feb TB'!G197:G200)</f>
        <v>-3046168177.7600002</v>
      </c>
      <c r="I23" s="13">
        <f t="shared" ref="I23:I30" si="4">F23</f>
        <v>588350677.56999993</v>
      </c>
      <c r="J23" s="65">
        <f>SUM('[12]USF TB'!$F$197:$F$200)</f>
        <v>-588350677.56999993</v>
      </c>
      <c r="K23" s="52">
        <f t="shared" ref="K23:K30" si="5">+J23+I23</f>
        <v>0</v>
      </c>
    </row>
    <row r="24" spans="1:11" s="10" customFormat="1" ht="12.75" customHeight="1" x14ac:dyDescent="0.25">
      <c r="A24" s="8" t="s">
        <v>9</v>
      </c>
      <c r="B24" s="13">
        <f>-'[10]Feb TB'!F185+'[10]Feb TB'!F202</f>
        <v>75782.42</v>
      </c>
      <c r="C24" s="24">
        <f>-'[10]Feb TB'!F186+'[10]Feb TB'!F203</f>
        <v>147937.70000000001</v>
      </c>
      <c r="D24" s="24">
        <f>-'[10]Feb TB'!F187+'[10]Feb TB'!F204</f>
        <v>30557.51</v>
      </c>
      <c r="E24" s="24">
        <f>-'[10]Feb TB'!F188+'[10]Feb TB'!F205</f>
        <v>3137.45</v>
      </c>
      <c r="F24" s="14">
        <f t="shared" si="3"/>
        <v>257415.08000000002</v>
      </c>
      <c r="G24" s="14">
        <f t="shared" ref="G24:G30" si="6">G12+F24</f>
        <v>1879171.1</v>
      </c>
      <c r="H24" s="14">
        <f>SUM('[10]Feb TB'!G185:G188,'[10]Feb TB'!G201:G204)</f>
        <v>-1879171.1</v>
      </c>
      <c r="I24" s="13">
        <f t="shared" si="4"/>
        <v>257415.08000000002</v>
      </c>
      <c r="J24" s="65">
        <f>SUM('[12]USF TB'!$F$185:$F$188,'[12]USF TB'!$F$201:$F$204)</f>
        <v>-257415.08000000002</v>
      </c>
      <c r="K24" s="52">
        <f t="shared" si="5"/>
        <v>0</v>
      </c>
    </row>
    <row r="25" spans="1:11" s="10" customFormat="1" ht="12.75" customHeight="1" x14ac:dyDescent="0.25">
      <c r="A25" s="8" t="s">
        <v>10</v>
      </c>
      <c r="B25" s="13">
        <f>-'[10]Feb TB'!F189+'[10]Feb TB'!F206</f>
        <v>-650.38</v>
      </c>
      <c r="C25" s="24">
        <f>-'[10]Feb TB'!F190+'[10]Feb TB'!F207</f>
        <v>-1269.6300000000001</v>
      </c>
      <c r="D25" s="24">
        <f>-'[10]Feb TB'!F191+'[10]Feb TB'!F208</f>
        <v>-262.23</v>
      </c>
      <c r="E25" s="24">
        <f>-'[10]Feb TB'!F192+'[10]Feb TB'!F209</f>
        <v>-26.96</v>
      </c>
      <c r="F25" s="14">
        <f t="shared" si="3"/>
        <v>-2209.2000000000003</v>
      </c>
      <c r="G25" s="14">
        <f t="shared" si="6"/>
        <v>74573.819999999992</v>
      </c>
      <c r="H25" s="14">
        <f>SUM('[10]Feb TB'!G189:G192,'[10]Feb TB'!G206:G209)</f>
        <v>-74573.820000000007</v>
      </c>
      <c r="I25" s="13">
        <f t="shared" si="4"/>
        <v>-2209.2000000000003</v>
      </c>
      <c r="J25" s="34">
        <f>SUM('[10]Feb TB'!F189:F192,'[10]Feb TB'!F206:F209)</f>
        <v>2209.2000000000003</v>
      </c>
      <c r="K25" s="52">
        <f t="shared" si="5"/>
        <v>0</v>
      </c>
    </row>
    <row r="26" spans="1:11" s="10" customFormat="1" ht="12.75" customHeight="1" x14ac:dyDescent="0.25">
      <c r="A26" s="8" t="s">
        <v>11</v>
      </c>
      <c r="B26" s="13">
        <f>'[10]Feb TB'!F193</f>
        <v>0</v>
      </c>
      <c r="C26" s="24">
        <f>'[10]Feb TB'!F194</f>
        <v>0</v>
      </c>
      <c r="D26" s="24">
        <f>'[10]Feb TB'!F195</f>
        <v>0</v>
      </c>
      <c r="E26" s="24">
        <f>'[10]Feb TB'!F196</f>
        <v>0</v>
      </c>
      <c r="F26" s="14">
        <f t="shared" si="3"/>
        <v>0</v>
      </c>
      <c r="G26" s="14">
        <f t="shared" si="6"/>
        <v>0</v>
      </c>
      <c r="H26" s="14">
        <v>0</v>
      </c>
      <c r="I26" s="13">
        <f t="shared" si="4"/>
        <v>0</v>
      </c>
      <c r="J26" s="34">
        <f>SUM('[12]USF TB'!$F$193:$F$196)</f>
        <v>0</v>
      </c>
      <c r="K26" s="52">
        <f t="shared" si="5"/>
        <v>0</v>
      </c>
    </row>
    <row r="27" spans="1:11" s="10" customFormat="1" ht="12.75" customHeight="1" x14ac:dyDescent="0.25">
      <c r="A27" s="8" t="s">
        <v>12</v>
      </c>
      <c r="B27" s="13">
        <f>-'[10]Feb TB'!F233</f>
        <v>-1529625.07</v>
      </c>
      <c r="C27" s="24">
        <f>-'[10]Feb TB'!F234</f>
        <v>-1470060.23</v>
      </c>
      <c r="D27" s="24">
        <f>-'[10]Feb TB'!F235</f>
        <v>-157174.35</v>
      </c>
      <c r="E27" s="24">
        <f>-'[10]Feb TB'!F236</f>
        <v>-549172.79</v>
      </c>
      <c r="F27" s="14">
        <f t="shared" si="3"/>
        <v>-3706032.44</v>
      </c>
      <c r="G27" s="14">
        <f t="shared" si="6"/>
        <v>-7246553.0700000003</v>
      </c>
      <c r="H27" s="14">
        <f>SUM('[10]Feb TB'!G233:G236)</f>
        <v>7246553.0700000003</v>
      </c>
      <c r="I27" s="13">
        <f t="shared" si="4"/>
        <v>-3706032.44</v>
      </c>
      <c r="J27" s="34">
        <f>SUM('[12]USF TB'!$F$233:$F$236)</f>
        <v>3706032.44</v>
      </c>
      <c r="K27" s="52">
        <f t="shared" si="5"/>
        <v>0</v>
      </c>
    </row>
    <row r="28" spans="1:11" s="10" customFormat="1" ht="12.75" customHeight="1" x14ac:dyDescent="0.25">
      <c r="A28" s="8" t="s">
        <v>13</v>
      </c>
      <c r="B28" s="13">
        <f>-('[10]Feb TB'!F220+'[10]Feb TB'!F229)</f>
        <v>-97231067.179999992</v>
      </c>
      <c r="C28" s="24">
        <f>-('[10]Feb TB'!F221+'[10]Feb TB'!F230)</f>
        <v>-360556231</v>
      </c>
      <c r="D28" s="24">
        <f>-('[10]Feb TB'!F222+'[10]Feb TB'!F231)</f>
        <v>-68219349</v>
      </c>
      <c r="E28" s="24">
        <f>-('[10]Feb TB'!F223+'[10]Feb TB'!F232)</f>
        <v>-2179015.59</v>
      </c>
      <c r="F28" s="14">
        <f t="shared" si="3"/>
        <v>-528185662.76999998</v>
      </c>
      <c r="G28" s="14">
        <f t="shared" si="6"/>
        <v>-2966300578.6300001</v>
      </c>
      <c r="H28" s="14">
        <f>SUM('[10]Feb TB'!G220:G223,'[10]Feb TB'!G229:G232)</f>
        <v>2966300578.6300001</v>
      </c>
      <c r="I28" s="13">
        <f t="shared" si="4"/>
        <v>-528185662.76999998</v>
      </c>
      <c r="J28" s="34">
        <f>(SUM('[10]Feb TB'!F220:F223,'[10]Feb TB'!F229:F232))</f>
        <v>528185662.76999998</v>
      </c>
      <c r="K28" s="52">
        <f t="shared" si="5"/>
        <v>0</v>
      </c>
    </row>
    <row r="29" spans="1:11" s="10" customFormat="1" ht="12.75" customHeight="1" x14ac:dyDescent="0.25">
      <c r="A29" s="8" t="s">
        <v>14</v>
      </c>
      <c r="B29" s="13">
        <f>-'[10]Feb TB'!F225</f>
        <v>-5568609.4000000004</v>
      </c>
      <c r="C29" s="24">
        <f>-'[10]Feb TB'!F226</f>
        <v>-2174275.2799999998</v>
      </c>
      <c r="D29" s="24">
        <f>-'[10]Feb TB'!F227</f>
        <v>-421009.39</v>
      </c>
      <c r="E29" s="24">
        <f>-'[10]Feb TB'!F228</f>
        <v>-680333.94</v>
      </c>
      <c r="F29" s="14">
        <f t="shared" si="3"/>
        <v>-8844228.0099999998</v>
      </c>
      <c r="G29" s="26">
        <f t="shared" si="6"/>
        <v>-38695266.759999998</v>
      </c>
      <c r="H29" s="26">
        <f>SUM('[10]Feb TB'!G225:G228)</f>
        <v>38695266.759999998</v>
      </c>
      <c r="I29" s="13">
        <f t="shared" si="4"/>
        <v>-8844228.0099999998</v>
      </c>
      <c r="J29" s="34">
        <f>SUM('[10]Feb TB'!F225:F228)</f>
        <v>8844228.0099999998</v>
      </c>
      <c r="K29" s="52">
        <f t="shared" si="5"/>
        <v>0</v>
      </c>
    </row>
    <row r="30" spans="1:11" s="10" customFormat="1" ht="12.75" customHeight="1" x14ac:dyDescent="0.25">
      <c r="A30" s="8" t="s">
        <v>15</v>
      </c>
      <c r="B30" s="13">
        <f>-SUM('[10]Feb TB'!F177+'[10]Feb TB'!F181)</f>
        <v>12430986.460000001</v>
      </c>
      <c r="C30" s="13">
        <f>-'[10]Feb TB'!F178-'[10]Feb TB'!F182</f>
        <v>1230661.6200000001</v>
      </c>
      <c r="D30" s="13">
        <f>-'[10]Feb TB'!F179-'[10]Feb TB'!F183</f>
        <v>483855.9</v>
      </c>
      <c r="E30" s="13">
        <f>-'[10]Feb TB'!F180-'[10]Feb TB'!F184</f>
        <v>462426.57</v>
      </c>
      <c r="F30" s="14">
        <f t="shared" si="3"/>
        <v>14607930.550000003</v>
      </c>
      <c r="G30" s="14">
        <f t="shared" si="6"/>
        <v>87551923.75</v>
      </c>
      <c r="H30" s="14">
        <f>SUM('[10]Feb TB'!G177:G184)</f>
        <v>-87551923.75</v>
      </c>
      <c r="I30" s="13">
        <f t="shared" si="4"/>
        <v>14607930.550000003</v>
      </c>
      <c r="J30" s="65">
        <f>SUM('[10]Feb TB'!F177:F184)</f>
        <v>-14607930.550000003</v>
      </c>
      <c r="K30" s="52">
        <f t="shared" si="5"/>
        <v>0</v>
      </c>
    </row>
    <row r="31" spans="1:11" s="20" customFormat="1" ht="12.75" customHeight="1" thickBot="1" x14ac:dyDescent="0.3">
      <c r="A31" s="16" t="s">
        <v>16</v>
      </c>
      <c r="B31" s="17">
        <f>SUM(B19:B30)</f>
        <v>4596141973.1943712</v>
      </c>
      <c r="C31" s="17">
        <f>SUM(C19:C30)</f>
        <v>2865143133.6415753</v>
      </c>
      <c r="D31" s="17">
        <f>SUM(D19:D30)</f>
        <v>2555145268.216125</v>
      </c>
      <c r="E31" s="17">
        <f>SUM(E19:E30)</f>
        <v>151064857.76502317</v>
      </c>
      <c r="F31" s="18">
        <f t="shared" si="3"/>
        <v>10167495232.817095</v>
      </c>
      <c r="G31" s="33">
        <f>SUM(G23:G30)</f>
        <v>123431447.97000003</v>
      </c>
      <c r="H31" s="33">
        <f>SUM(H23:H30)</f>
        <v>-123431447.97000003</v>
      </c>
      <c r="I31" s="52">
        <f>SUM(I23:I30)</f>
        <v>62477890.779999897</v>
      </c>
      <c r="J31" s="66">
        <f>SUM(J23:J30)</f>
        <v>-62477890.779999897</v>
      </c>
      <c r="K31" s="52"/>
    </row>
    <row r="32" spans="1:11" s="20" customFormat="1" ht="12.75" customHeight="1" thickTop="1" x14ac:dyDescent="0.25">
      <c r="A32" s="16"/>
      <c r="B32" s="60"/>
      <c r="C32" s="60"/>
      <c r="D32" s="60"/>
      <c r="E32" s="60"/>
      <c r="F32" s="33"/>
      <c r="G32" s="33"/>
      <c r="H32" s="33"/>
      <c r="I32" s="52"/>
      <c r="J32" s="66"/>
      <c r="K32" s="52"/>
    </row>
    <row r="33" spans="1:11" s="10" customFormat="1" ht="12.75" customHeight="1" x14ac:dyDescent="0.25">
      <c r="A33" s="8"/>
      <c r="B33" s="13"/>
      <c r="C33" s="13"/>
      <c r="F33" s="13"/>
      <c r="G33" s="19" t="s">
        <v>32</v>
      </c>
      <c r="H33" s="19" t="s">
        <v>32</v>
      </c>
      <c r="I33" s="19" t="s">
        <v>31</v>
      </c>
      <c r="J33" s="19" t="s">
        <v>31</v>
      </c>
    </row>
    <row r="34" spans="1:11" s="10" customFormat="1" ht="12.75" customHeight="1" x14ac:dyDescent="0.25">
      <c r="A34" s="15" t="s">
        <v>18</v>
      </c>
      <c r="B34" s="21"/>
      <c r="C34" s="21"/>
      <c r="D34" s="22"/>
      <c r="E34" s="22"/>
      <c r="F34" s="21"/>
      <c r="G34" s="19" t="s">
        <v>44</v>
      </c>
      <c r="H34" s="20" t="s">
        <v>45</v>
      </c>
      <c r="I34" s="19" t="s">
        <v>44</v>
      </c>
      <c r="J34" s="20" t="s">
        <v>45</v>
      </c>
      <c r="K34" s="19" t="s">
        <v>85</v>
      </c>
    </row>
    <row r="35" spans="1:11" s="10" customFormat="1" ht="12.75" customHeight="1" x14ac:dyDescent="0.25">
      <c r="A35" s="8" t="s">
        <v>8</v>
      </c>
      <c r="B35" s="14">
        <f>-'[10]March TB '!F225</f>
        <v>169472451.65000001</v>
      </c>
      <c r="C35" s="14">
        <f>-'[10]March TB '!F226</f>
        <v>341570875.18000001</v>
      </c>
      <c r="D35" s="14">
        <f>-'[10]March TB '!F227</f>
        <v>68851950.290000007</v>
      </c>
      <c r="E35" s="14">
        <f>-'[10]March TB '!F228</f>
        <v>7156660.4500000002</v>
      </c>
      <c r="F35" s="14">
        <f t="shared" ref="F35:F43" si="7">SUM(B35:E35)</f>
        <v>587051937.57000005</v>
      </c>
      <c r="G35" s="14">
        <f>SUM(G23+F35)</f>
        <v>3633220115.3300004</v>
      </c>
      <c r="H35" s="14">
        <f>SUM('[10]March TB '!G225:G228)</f>
        <v>-3633220115.3299999</v>
      </c>
      <c r="I35" s="23">
        <f t="shared" ref="I35:I43" si="8">F35</f>
        <v>587051937.57000005</v>
      </c>
      <c r="J35" s="23">
        <f>SUM('[10]March TB '!F225:F228)</f>
        <v>-587051937.57000005</v>
      </c>
      <c r="K35" s="52">
        <f t="shared" ref="K35:K44" si="9">+J35+I35</f>
        <v>0</v>
      </c>
    </row>
    <row r="36" spans="1:11" s="10" customFormat="1" ht="12.75" customHeight="1" x14ac:dyDescent="0.25">
      <c r="A36" s="8" t="s">
        <v>9</v>
      </c>
      <c r="B36" s="14">
        <f>-SUM('[10]March TB '!F205,'[10]March TB '!F230+'[10]March TB '!F217)</f>
        <v>233232.78</v>
      </c>
      <c r="C36" s="14">
        <f>-SUM('[10]March TB '!F206,'[10]March TB '!F231+'[10]March TB '!F218)</f>
        <v>455296.45</v>
      </c>
      <c r="D36" s="14">
        <f>-SUM('[10]March TB '!F207,'[10]March TB '!F231+'[10]March TB '!F219)</f>
        <v>94041.66</v>
      </c>
      <c r="E36" s="14">
        <f>-SUM('[10]March TB '!F208,'[10]March TB '!F233+'[10]March TB '!F220)</f>
        <v>9660.76</v>
      </c>
      <c r="F36" s="14">
        <f t="shared" si="7"/>
        <v>792231.65</v>
      </c>
      <c r="G36" s="14">
        <f>+F36+G24</f>
        <v>2671402.75</v>
      </c>
      <c r="H36" s="72">
        <f>SUM('[10]March TB '!G205:G208,'[10]March TB '!G230:G233,'[10]March TB '!G217:G220)</f>
        <v>-2671402.75</v>
      </c>
      <c r="I36" s="23">
        <f t="shared" si="8"/>
        <v>792231.65</v>
      </c>
      <c r="J36" s="23">
        <f>SUM('[10]March TB '!F205:F208,'[10]March TB '!F217:F220,'[10]March TB '!F229:F232)</f>
        <v>-792231.65</v>
      </c>
      <c r="K36" s="52">
        <f t="shared" si="9"/>
        <v>0</v>
      </c>
    </row>
    <row r="37" spans="1:11" s="10" customFormat="1" ht="12.75" customHeight="1" x14ac:dyDescent="0.25">
      <c r="A37" s="8" t="s">
        <v>10</v>
      </c>
      <c r="B37" s="14">
        <f>-SUM('[10]March TB '!F209,'[10]March TB '!F234)</f>
        <v>5207.8</v>
      </c>
      <c r="C37" s="14">
        <f>-SUM('[10]March TB '!F210,'[10]March TB '!F235)</f>
        <v>10166.120000000001</v>
      </c>
      <c r="D37" s="14">
        <f>-SUM('[10]March TB '!F211,'[10]March TB '!F236)</f>
        <v>2099.73</v>
      </c>
      <c r="E37" s="14">
        <f>-SUM('[10]March TB '!F212,'[10]March TB '!F237)</f>
        <v>215.8</v>
      </c>
      <c r="F37" s="14">
        <f t="shared" si="7"/>
        <v>17689.45</v>
      </c>
      <c r="G37" s="14">
        <f>+F37+G25</f>
        <v>92263.26999999999</v>
      </c>
      <c r="H37" s="14">
        <f>-SUM('[10]March TB '!G209:G212,'[10]March TB '!G234:G237)</f>
        <v>92263.27</v>
      </c>
      <c r="I37" s="23">
        <f t="shared" si="8"/>
        <v>17689.45</v>
      </c>
      <c r="J37" s="23">
        <f>SUM('[10]March TB '!F209:F212,'[10]March TB '!F234:F237)</f>
        <v>-17689.45</v>
      </c>
      <c r="K37" s="52">
        <f t="shared" si="9"/>
        <v>0</v>
      </c>
    </row>
    <row r="38" spans="1:11" s="10" customFormat="1" ht="12.75" customHeight="1" x14ac:dyDescent="0.25">
      <c r="A38" s="8" t="s">
        <v>11</v>
      </c>
      <c r="B38" s="13">
        <f>'[10]March TB '!F213</f>
        <v>0</v>
      </c>
      <c r="C38" s="13">
        <f>-SUM('[10]March TB '!F214)</f>
        <v>0</v>
      </c>
      <c r="D38" s="13">
        <f>'[10]March TB '!F215</f>
        <v>0</v>
      </c>
      <c r="E38" s="13">
        <f>'[10]March TB '!F216</f>
        <v>0</v>
      </c>
      <c r="F38" s="14">
        <f t="shared" si="7"/>
        <v>0</v>
      </c>
      <c r="G38" s="14">
        <f>+F38+G26</f>
        <v>0</v>
      </c>
      <c r="H38" s="14">
        <f>SUM('[10]March TB '!G213:G216)</f>
        <v>0</v>
      </c>
      <c r="I38" s="23">
        <f t="shared" si="8"/>
        <v>0</v>
      </c>
      <c r="J38" s="34">
        <f>SUM('[10]March TB '!G213:G216)</f>
        <v>0</v>
      </c>
      <c r="K38" s="52">
        <f t="shared" si="9"/>
        <v>0</v>
      </c>
    </row>
    <row r="39" spans="1:11" s="10" customFormat="1" ht="12.75" customHeight="1" x14ac:dyDescent="0.25">
      <c r="A39" s="8" t="s">
        <v>12</v>
      </c>
      <c r="B39" s="13">
        <f>-SUM('[10]March TB '!F261)</f>
        <v>15810666.17</v>
      </c>
      <c r="C39" s="13">
        <f>-SUM('[10]March TB '!F262)</f>
        <v>3580467.23</v>
      </c>
      <c r="D39" s="13">
        <f>-'[10]March TB '!F263</f>
        <v>1010018.7</v>
      </c>
      <c r="E39" s="13">
        <f>-'[10]March TB '!F264</f>
        <v>831020.35</v>
      </c>
      <c r="F39" s="14">
        <f t="shared" si="7"/>
        <v>21232172.449999999</v>
      </c>
      <c r="G39" s="14">
        <f>+F39+G27</f>
        <v>13985619.379999999</v>
      </c>
      <c r="H39" s="14">
        <f>SUM('[10]March TB '!G261:G264)</f>
        <v>-13985619.380000001</v>
      </c>
      <c r="I39" s="23">
        <f t="shared" si="8"/>
        <v>21232172.449999999</v>
      </c>
      <c r="J39" s="70">
        <f>(SUM('[10]March TB '!F261:F264))</f>
        <v>-21232172.449999999</v>
      </c>
      <c r="K39" s="52">
        <f t="shared" si="9"/>
        <v>0</v>
      </c>
    </row>
    <row r="40" spans="1:11" s="10" customFormat="1" ht="12.75" customHeight="1" x14ac:dyDescent="0.25">
      <c r="A40" s="8" t="s">
        <v>13</v>
      </c>
      <c r="B40" s="13">
        <f>-SUM('[10]March TB '!F248,'[10]March TB '!F257)</f>
        <v>-122419981.73</v>
      </c>
      <c r="C40" s="13">
        <f>-SUM('[10]March TB '!F249,'[10]March TB '!F258)</f>
        <v>-365758801</v>
      </c>
      <c r="D40" s="13">
        <f>-SUM('[10]March TB '!F250,'[10]March TB '!F259)</f>
        <v>-70065703</v>
      </c>
      <c r="E40" s="13">
        <f>-SUM('[10]March TB '!F251,'[10]March TB '!F260)</f>
        <v>-2157141.69</v>
      </c>
      <c r="F40" s="14">
        <f t="shared" si="7"/>
        <v>-560401627.42000008</v>
      </c>
      <c r="G40" s="14">
        <f>-SUM('[10]March TB '!G248:G251,'[10]March TB '!G257:G260)</f>
        <v>-3526702206.0499997</v>
      </c>
      <c r="H40" s="14">
        <f>SUM('[10]March TB '!G248:G251,'[10]March TB '!G257:G260)</f>
        <v>3526702206.0499997</v>
      </c>
      <c r="I40" s="23">
        <f t="shared" si="8"/>
        <v>-560401627.42000008</v>
      </c>
      <c r="J40" s="34">
        <f>SUM('[10]March TB '!F248:F251,'[10]March TB '!F257:F260)</f>
        <v>560401627.42000008</v>
      </c>
      <c r="K40" s="52">
        <f t="shared" si="9"/>
        <v>0</v>
      </c>
    </row>
    <row r="41" spans="1:11" s="10" customFormat="1" ht="12.75" customHeight="1" x14ac:dyDescent="0.25">
      <c r="A41" s="8" t="s">
        <v>14</v>
      </c>
      <c r="B41" s="13">
        <f>-SUM('[10]March TB '!F253)</f>
        <v>-15238035.23</v>
      </c>
      <c r="C41" s="13">
        <f>-SUM('[10]March TB '!F254)</f>
        <v>-6345003.5700000003</v>
      </c>
      <c r="D41" s="13">
        <f>-SUM('[10]March TB '!F255)</f>
        <v>107857.24</v>
      </c>
      <c r="E41" s="13">
        <f>-SUM('[10]March TB '!F256)</f>
        <v>-556161.29</v>
      </c>
      <c r="F41" s="14">
        <f t="shared" si="7"/>
        <v>-22031342.850000001</v>
      </c>
      <c r="G41" s="14">
        <f>+F41+G29</f>
        <v>-60726609.609999999</v>
      </c>
      <c r="H41" s="26">
        <f>SUM('[10]March TB '!G253:G256)</f>
        <v>60726609.610000007</v>
      </c>
      <c r="I41" s="23">
        <f t="shared" si="8"/>
        <v>-22031342.850000001</v>
      </c>
      <c r="J41" s="34">
        <f>SUM('[10]March TB '!F253:F256)</f>
        <v>22031342.850000001</v>
      </c>
      <c r="K41" s="52">
        <f t="shared" si="9"/>
        <v>0</v>
      </c>
    </row>
    <row r="42" spans="1:11" s="10" customFormat="1" ht="12.75" customHeight="1" x14ac:dyDescent="0.25">
      <c r="A42" s="8" t="s">
        <v>15</v>
      </c>
      <c r="B42" s="34">
        <f>-SUM('[10]March TB '!F197,'[10]March TB '!F201)</f>
        <v>11504466.49</v>
      </c>
      <c r="C42" s="13">
        <f>-SUM('[10]March TB '!F198,'[10]March TB '!F202)</f>
        <v>1009796.31</v>
      </c>
      <c r="D42" s="34">
        <f>-SUM('[10]March TB '!F199,'[10]March TB '!F203)</f>
        <v>435230.87</v>
      </c>
      <c r="E42" s="34">
        <f>-SUM('[10]March TB '!F200,'[10]March TB '!F204)</f>
        <v>432245.54</v>
      </c>
      <c r="F42" s="14">
        <f t="shared" si="7"/>
        <v>13381739.209999999</v>
      </c>
      <c r="G42" s="14">
        <f>+F42+G30</f>
        <v>100933662.95999999</v>
      </c>
      <c r="H42" s="14">
        <f>SUM('[10]March TB '!G197:G200,'[10]March TB '!G201:G204)</f>
        <v>-100933662.96000001</v>
      </c>
      <c r="I42" s="23">
        <f t="shared" si="8"/>
        <v>13381739.209999999</v>
      </c>
      <c r="J42" s="23">
        <f>SUM('[10]March TB '!F197:F204)</f>
        <v>-13381739.209999999</v>
      </c>
      <c r="K42" s="52">
        <f t="shared" si="9"/>
        <v>0</v>
      </c>
    </row>
    <row r="43" spans="1:11" s="10" customFormat="1" ht="12.75" customHeight="1" x14ac:dyDescent="0.25">
      <c r="A43" s="8" t="s">
        <v>79</v>
      </c>
      <c r="B43" s="70">
        <f>-SUM('[10]March TB '!F221)</f>
        <v>-2065907</v>
      </c>
      <c r="C43" s="71">
        <f>-SUM('[10]March TB '!F222)</f>
        <v>-4204193</v>
      </c>
      <c r="D43" s="70">
        <f>-'[10]March TB '!F223</f>
        <v>-764578</v>
      </c>
      <c r="E43" s="70">
        <f>-'[10]March TB '!F224</f>
        <v>-125322</v>
      </c>
      <c r="F43" s="14">
        <f t="shared" si="7"/>
        <v>-7160000</v>
      </c>
      <c r="G43" s="14">
        <f>F43</f>
        <v>-7160000</v>
      </c>
      <c r="H43" s="14">
        <f>SUM('[10]March TB '!G221:G224)</f>
        <v>7160000</v>
      </c>
      <c r="I43" s="23">
        <f t="shared" si="8"/>
        <v>-7160000</v>
      </c>
      <c r="J43" s="34">
        <f>SUM('[10]March TB '!F221:F224)</f>
        <v>7160000</v>
      </c>
      <c r="K43" s="52">
        <f t="shared" si="9"/>
        <v>0</v>
      </c>
    </row>
    <row r="44" spans="1:11" s="20" customFormat="1" ht="12.75" customHeight="1" thickBot="1" x14ac:dyDescent="0.3">
      <c r="A44" s="16" t="s">
        <v>16</v>
      </c>
      <c r="B44" s="17">
        <f>SUM(B31:B43)</f>
        <v>4653444074.1243715</v>
      </c>
      <c r="C44" s="17">
        <f>SUM(C31:C43)</f>
        <v>2835461737.3615746</v>
      </c>
      <c r="D44" s="17">
        <f>SUM(D31:D43)</f>
        <v>2554816185.7061243</v>
      </c>
      <c r="E44" s="17">
        <f>SUM(E31:E43)</f>
        <v>156656035.68502316</v>
      </c>
      <c r="F44" s="17">
        <f>SUM(F31:F43)</f>
        <v>10200378032.877094</v>
      </c>
      <c r="G44" s="33">
        <f>SUM(G35:G43)</f>
        <v>156314248.03000078</v>
      </c>
      <c r="H44" s="33">
        <f>SUM(H35:H43)</f>
        <v>-156129721.49000034</v>
      </c>
      <c r="I44" s="33">
        <f>SUM(I35:I43)</f>
        <v>32882800.060000047</v>
      </c>
      <c r="J44" s="33">
        <f>SUM(J35:J43)</f>
        <v>-32882800.060000047</v>
      </c>
      <c r="K44" s="52">
        <f t="shared" si="9"/>
        <v>0</v>
      </c>
    </row>
    <row r="45" spans="1:11" s="20" customFormat="1" ht="12.75" customHeight="1" thickTop="1" x14ac:dyDescent="0.25">
      <c r="A45" s="16"/>
      <c r="B45" s="60"/>
      <c r="C45" s="60"/>
      <c r="D45" s="60"/>
      <c r="E45" s="60"/>
      <c r="F45" s="60"/>
      <c r="G45" s="33"/>
      <c r="H45" s="33">
        <f>+G49+H49</f>
        <v>0</v>
      </c>
      <c r="I45" s="19"/>
    </row>
    <row r="46" spans="1:11" s="10" customFormat="1" ht="12.75" customHeight="1" x14ac:dyDescent="0.25">
      <c r="A46" s="8"/>
      <c r="B46" s="13"/>
      <c r="C46" s="13"/>
      <c r="D46" s="13"/>
      <c r="E46" s="13"/>
      <c r="F46" s="13"/>
      <c r="G46" s="19" t="s">
        <v>32</v>
      </c>
      <c r="H46" s="19" t="s">
        <v>32</v>
      </c>
      <c r="I46" s="19" t="s">
        <v>31</v>
      </c>
      <c r="J46" s="19" t="s">
        <v>31</v>
      </c>
      <c r="K46" s="19" t="s">
        <v>85</v>
      </c>
    </row>
    <row r="47" spans="1:11" s="10" customFormat="1" ht="12.75" customHeight="1" x14ac:dyDescent="0.25">
      <c r="A47" s="15" t="s">
        <v>19</v>
      </c>
      <c r="B47" s="21"/>
      <c r="C47" s="21"/>
      <c r="D47" s="22"/>
      <c r="E47" s="22"/>
      <c r="F47" s="21"/>
      <c r="G47" s="19" t="s">
        <v>44</v>
      </c>
      <c r="H47" s="20" t="s">
        <v>45</v>
      </c>
      <c r="I47" s="19" t="s">
        <v>44</v>
      </c>
      <c r="J47" s="20" t="s">
        <v>45</v>
      </c>
    </row>
    <row r="48" spans="1:11" s="10" customFormat="1" ht="12.75" customHeight="1" x14ac:dyDescent="0.25">
      <c r="A48" s="8" t="s">
        <v>8</v>
      </c>
      <c r="B48" s="14">
        <f>-'[10]April TB Final'!F224</f>
        <v>181395988.63999999</v>
      </c>
      <c r="C48" s="14">
        <f>-'[10]April TB Final'!F225</f>
        <v>378988802.92000002</v>
      </c>
      <c r="D48" s="14">
        <f>-'[10]April TB Final'!F226</f>
        <v>68564162.519999996</v>
      </c>
      <c r="E48" s="14">
        <f>-'[10]April TB Final'!F227</f>
        <v>19782194.379999999</v>
      </c>
      <c r="F48" s="14">
        <f t="shared" ref="F48:F56" si="10">SUM(B48:E48)</f>
        <v>648731148.45999992</v>
      </c>
      <c r="G48" s="14">
        <f>SUM(G35+F48)</f>
        <v>4281951263.7900004</v>
      </c>
      <c r="H48" s="14">
        <f>SUM('[10]April TB Final'!G224:G227)</f>
        <v>-4281951263.7899995</v>
      </c>
      <c r="I48" s="23">
        <f t="shared" ref="I48:I56" si="11">F48</f>
        <v>648731148.45999992</v>
      </c>
      <c r="J48" s="65">
        <f>-SUM('[10]April TB Final'!F224:F227)</f>
        <v>648731148.45999992</v>
      </c>
      <c r="K48" s="52">
        <f>+J48-I48</f>
        <v>0</v>
      </c>
    </row>
    <row r="49" spans="1:11" s="10" customFormat="1" ht="12.75" customHeight="1" x14ac:dyDescent="0.25">
      <c r="A49" s="8" t="s">
        <v>9</v>
      </c>
      <c r="B49" s="14">
        <f>-SUM('[10]April TB Final'!F204,'[10]April TB Final'!F216)</f>
        <v>227048.2</v>
      </c>
      <c r="C49" s="14">
        <f>-SUM('[10]April TB Final'!F205,'[10]April TB Final'!F217)</f>
        <v>473755.9</v>
      </c>
      <c r="D49" s="14">
        <f>-SUM('[10]April TB Final'!F206,'[10]April TB Final'!F218)</f>
        <v>88030.64</v>
      </c>
      <c r="E49" s="14">
        <f>-SUM('[10]April TB Final'!F207,'[10]April TB Final'!F219)</f>
        <v>20020.73</v>
      </c>
      <c r="F49" s="14">
        <f t="shared" si="10"/>
        <v>808855.47000000009</v>
      </c>
      <c r="G49" s="26">
        <f t="shared" ref="G49:G55" si="12">+G36+F49</f>
        <v>3480258.22</v>
      </c>
      <c r="H49" s="26">
        <f>SUM('[10]April TB Final'!G204:G207,'[10]April TB Final'!G216:G219)</f>
        <v>-3480258.22</v>
      </c>
      <c r="I49" s="23">
        <f t="shared" si="11"/>
        <v>808855.47000000009</v>
      </c>
      <c r="J49" s="34">
        <f>-SUM('[10]April TB Final'!F204:F207,'[10]April TB Final'!F216:F219)</f>
        <v>808855.47</v>
      </c>
      <c r="K49" s="52">
        <f t="shared" ref="K49:K57" si="13">J49-I49</f>
        <v>0</v>
      </c>
    </row>
    <row r="50" spans="1:11" s="10" customFormat="1" ht="12.75" customHeight="1" x14ac:dyDescent="0.25">
      <c r="A50" s="8" t="s">
        <v>10</v>
      </c>
      <c r="B50" s="14">
        <f>-'[10]April TB Final'!F208</f>
        <v>22834.639999999999</v>
      </c>
      <c r="C50" s="14">
        <f>-'[10]April TB Final'!F209</f>
        <v>49261.19</v>
      </c>
      <c r="D50" s="14">
        <f>-'[10]April TB Final'!F210</f>
        <v>8667.18</v>
      </c>
      <c r="E50" s="14">
        <f>-'[10]April TB Final'!F211</f>
        <v>2575.12</v>
      </c>
      <c r="F50" s="14">
        <f t="shared" si="10"/>
        <v>83338.13</v>
      </c>
      <c r="G50" s="26">
        <f t="shared" si="12"/>
        <v>175601.4</v>
      </c>
      <c r="H50" s="26">
        <f>SUM('[10]April TB Final'!G208:G211)</f>
        <v>-175601.40000000002</v>
      </c>
      <c r="I50" s="23">
        <f t="shared" si="11"/>
        <v>83338.13</v>
      </c>
      <c r="J50" s="34">
        <f>-SUM('[10]April TB Final'!F208:F211)</f>
        <v>83338.13</v>
      </c>
      <c r="K50" s="52">
        <f t="shared" si="13"/>
        <v>0</v>
      </c>
    </row>
    <row r="51" spans="1:11" s="10" customFormat="1" ht="12.75" customHeight="1" x14ac:dyDescent="0.25">
      <c r="A51" s="8" t="s">
        <v>11</v>
      </c>
      <c r="B51" s="13">
        <f>-'[10]April TB Final'!F212</f>
        <v>447.64</v>
      </c>
      <c r="C51" s="13">
        <f>-'[10]April TB Final'!F213</f>
        <v>965.48</v>
      </c>
      <c r="D51" s="14">
        <f>-'[10]April TB Final'!F214</f>
        <v>169.93</v>
      </c>
      <c r="E51" s="13">
        <f>-'[10]April TB Final'!F215</f>
        <v>50.48</v>
      </c>
      <c r="F51" s="14">
        <f t="shared" si="10"/>
        <v>1633.53</v>
      </c>
      <c r="G51" s="14">
        <f t="shared" si="12"/>
        <v>1633.53</v>
      </c>
      <c r="H51" s="14">
        <f>SUM('[10]April TB Final'!G212:G215)</f>
        <v>-1633.53</v>
      </c>
      <c r="I51" s="23">
        <f t="shared" si="11"/>
        <v>1633.53</v>
      </c>
      <c r="J51" s="34">
        <f>-SUM('[10]April TB Final'!F212:F215)</f>
        <v>1633.53</v>
      </c>
      <c r="K51" s="52">
        <f t="shared" si="13"/>
        <v>0</v>
      </c>
    </row>
    <row r="52" spans="1:11" s="10" customFormat="1" ht="12.75" customHeight="1" x14ac:dyDescent="0.25">
      <c r="A52" s="8" t="s">
        <v>12</v>
      </c>
      <c r="B52" s="13">
        <f>-'[10]April TB Final'!F240</f>
        <v>-4798433.8499999996</v>
      </c>
      <c r="C52" s="13">
        <f>-'[10]April TB Final'!F241</f>
        <v>-10350726.210000001</v>
      </c>
      <c r="D52" s="14">
        <f>-'[10]April TB Final'!F242</f>
        <v>-1835325.89</v>
      </c>
      <c r="E52" s="13">
        <f>-'[10]April TB Final'!F243</f>
        <v>-400894.17</v>
      </c>
      <c r="F52" s="14">
        <f t="shared" si="10"/>
        <v>-17385380.120000001</v>
      </c>
      <c r="G52" s="14">
        <f t="shared" si="12"/>
        <v>-3399760.7400000021</v>
      </c>
      <c r="H52" s="14">
        <f>SUM('[10]April TB Final'!G240:G243)</f>
        <v>3399760.7399999984</v>
      </c>
      <c r="I52" s="23">
        <f t="shared" si="11"/>
        <v>-17385380.120000001</v>
      </c>
      <c r="J52" s="65">
        <f>-SUM('[10]April TB Final'!F240:F243)</f>
        <v>-17385380.120000001</v>
      </c>
      <c r="K52" s="52">
        <f t="shared" si="13"/>
        <v>0</v>
      </c>
    </row>
    <row r="53" spans="1:11" s="10" customFormat="1" ht="12.75" customHeight="1" x14ac:dyDescent="0.25">
      <c r="A53" s="8" t="s">
        <v>13</v>
      </c>
      <c r="B53" s="13">
        <f>-'[10]April TB Final'!F228-'[10]April TB Final'!F236</f>
        <v>-126282252.5</v>
      </c>
      <c r="C53" s="13">
        <f>-'[10]April TB Final'!F229-'[10]April TB Final'!F237</f>
        <v>-369515711.63999999</v>
      </c>
      <c r="D53" s="13">
        <f>-'[10]April TB Final'!F230-'[10]April TB Final'!F238</f>
        <v>-67338456</v>
      </c>
      <c r="E53" s="13">
        <f>-'[10]April TB Final'!F231-'[10]April TB Final'!F239</f>
        <v>-3583013.63</v>
      </c>
      <c r="F53" s="14">
        <f t="shared" si="10"/>
        <v>-566719433.76999998</v>
      </c>
      <c r="G53" s="26">
        <f t="shared" si="12"/>
        <v>-4093421639.8199997</v>
      </c>
      <c r="H53" s="26">
        <f>SUM('[10]April TB Final'!G228:G231)+SUM('[10]April TB Final'!G236:G239)</f>
        <v>4093421639.8199997</v>
      </c>
      <c r="I53" s="23">
        <f t="shared" si="11"/>
        <v>-566719433.76999998</v>
      </c>
      <c r="J53" s="65">
        <f>-SUM('[10]April TB Final'!F228:F231,'[10]April TB Final'!F236:F239)</f>
        <v>-566719433.76999986</v>
      </c>
      <c r="K53" s="52">
        <f t="shared" si="13"/>
        <v>0</v>
      </c>
    </row>
    <row r="54" spans="1:11" s="10" customFormat="1" ht="12.75" customHeight="1" x14ac:dyDescent="0.25">
      <c r="A54" s="8" t="s">
        <v>14</v>
      </c>
      <c r="B54" s="23">
        <f>-'[10]April TB Final'!F232</f>
        <v>-18202307.670000002</v>
      </c>
      <c r="C54" s="13">
        <f>-'[10]April TB Final'!F233</f>
        <v>-5976217.1299999999</v>
      </c>
      <c r="D54" s="23">
        <f>-'[10]April TB Final'!F234</f>
        <v>-125492.42</v>
      </c>
      <c r="E54" s="23">
        <f>-'[10]April TB Final'!F235</f>
        <v>434177.52</v>
      </c>
      <c r="F54" s="14">
        <f t="shared" si="10"/>
        <v>-23869839.700000003</v>
      </c>
      <c r="G54" s="26">
        <f t="shared" si="12"/>
        <v>-84596449.310000002</v>
      </c>
      <c r="H54" s="26">
        <f>SUM('[10]April TB Final'!G232:G235)</f>
        <v>84596449.310000002</v>
      </c>
      <c r="I54" s="23">
        <f t="shared" si="11"/>
        <v>-23869839.700000003</v>
      </c>
      <c r="J54" s="65">
        <f>-SUM('[10]April TB Final'!F232:F235)</f>
        <v>-23869839.700000003</v>
      </c>
      <c r="K54" s="52">
        <f t="shared" si="13"/>
        <v>0</v>
      </c>
    </row>
    <row r="55" spans="1:11" s="10" customFormat="1" ht="12.75" customHeight="1" x14ac:dyDescent="0.25">
      <c r="A55" s="8" t="s">
        <v>15</v>
      </c>
      <c r="B55" s="23">
        <f>-SUM('[13]April TB Final'!$F$196,'[13]April TB Final'!$F$200)</f>
        <v>9720918.2899999991</v>
      </c>
      <c r="C55" s="13">
        <f>-SUM('[13]April TB Final'!$F$197,'[13]April TB Final'!$F$201)</f>
        <v>749957.48</v>
      </c>
      <c r="D55" s="23">
        <f>-SUM('[13]April TB Final'!$F$202,'[13]April TB Final'!$F$198)</f>
        <v>362325.81000000006</v>
      </c>
      <c r="E55" s="23">
        <f>-SUM('[13]April TB Final'!$F$199,'[13]April TB Final'!$F$203)</f>
        <v>367345.16</v>
      </c>
      <c r="F55" s="14">
        <f t="shared" si="10"/>
        <v>11200546.74</v>
      </c>
      <c r="G55" s="26">
        <f t="shared" si="12"/>
        <v>112134209.69999999</v>
      </c>
      <c r="H55" s="26">
        <f>SUM('[10]April TB Final'!G196:G203)</f>
        <v>-112134209.7</v>
      </c>
      <c r="I55" s="23">
        <f t="shared" si="11"/>
        <v>11200546.74</v>
      </c>
      <c r="J55" s="34">
        <f>-SUM('[10]April TB Final'!F196:F203)</f>
        <v>11200546.739999996</v>
      </c>
      <c r="K55" s="52">
        <f t="shared" si="13"/>
        <v>0</v>
      </c>
    </row>
    <row r="56" spans="1:11" s="10" customFormat="1" ht="12.75" customHeight="1" x14ac:dyDescent="0.25">
      <c r="A56" s="8" t="s">
        <v>79</v>
      </c>
      <c r="B56" s="23">
        <f>'[10]April TB Final'!F220</f>
        <v>0</v>
      </c>
      <c r="C56" s="13">
        <f>'[10]April TB Final'!F221</f>
        <v>0</v>
      </c>
      <c r="D56" s="23">
        <f>'[10]April TB Final'!F222</f>
        <v>0</v>
      </c>
      <c r="E56" s="23">
        <f>'[10]April TB Final'!F223</f>
        <v>0</v>
      </c>
      <c r="F56" s="14">
        <f t="shared" si="10"/>
        <v>0</v>
      </c>
      <c r="G56" s="26">
        <f>SUM(G43+F56)</f>
        <v>-7160000</v>
      </c>
      <c r="H56" s="26">
        <f>SUM('[10]April TB Final'!G220:G223)</f>
        <v>7160000</v>
      </c>
      <c r="I56" s="25">
        <f t="shared" si="11"/>
        <v>0</v>
      </c>
      <c r="J56" s="73">
        <f>SUM('[10]April TB Final'!F220:F223)</f>
        <v>0</v>
      </c>
      <c r="K56" s="52">
        <f t="shared" si="13"/>
        <v>0</v>
      </c>
    </row>
    <row r="57" spans="1:11" s="20" customFormat="1" ht="12.75" customHeight="1" thickBot="1" x14ac:dyDescent="0.3">
      <c r="A57" s="16" t="s">
        <v>16</v>
      </c>
      <c r="B57" s="17">
        <f>SUM(B44:B56)</f>
        <v>4695528317.5143719</v>
      </c>
      <c r="C57" s="17">
        <f>SUM(C44:C56)</f>
        <v>2829881825.3515749</v>
      </c>
      <c r="D57" s="17">
        <f>SUM(D44:D56)</f>
        <v>2554540267.4761238</v>
      </c>
      <c r="E57" s="17">
        <f>SUM(E44:E56)</f>
        <v>173278491.27502316</v>
      </c>
      <c r="F57" s="17">
        <f>SUM(F44:F56)</f>
        <v>10253228901.61709</v>
      </c>
      <c r="G57" s="74">
        <f>SUM(G48:G56)</f>
        <v>209165116.77000105</v>
      </c>
      <c r="H57" s="74">
        <f>SUM(H48:H56)</f>
        <v>-209165116.7700001</v>
      </c>
      <c r="I57" s="33">
        <f>SUM(I48:I56)</f>
        <v>52850868.739999928</v>
      </c>
      <c r="J57" s="33">
        <f>SUM(J48:J56)</f>
        <v>52850868.740000039</v>
      </c>
      <c r="K57" s="52">
        <f t="shared" si="13"/>
        <v>1.1175870895385742E-7</v>
      </c>
    </row>
    <row r="58" spans="1:11" s="20" customFormat="1" ht="12.75" customHeight="1" thickTop="1" x14ac:dyDescent="0.25">
      <c r="A58" s="16"/>
      <c r="B58" s="60"/>
      <c r="C58" s="60"/>
      <c r="D58" s="60"/>
      <c r="E58" s="60"/>
      <c r="F58" s="33"/>
      <c r="G58" s="74"/>
      <c r="H58" s="74">
        <f>+G53+H53</f>
        <v>0</v>
      </c>
      <c r="I58" s="19"/>
    </row>
    <row r="59" spans="1:11" s="10" customFormat="1" ht="12.75" customHeight="1" x14ac:dyDescent="0.25">
      <c r="A59" s="8"/>
      <c r="B59" s="13"/>
      <c r="C59" s="13"/>
      <c r="F59" s="13"/>
      <c r="G59" s="75" t="s">
        <v>84</v>
      </c>
      <c r="H59" s="75" t="s">
        <v>84</v>
      </c>
      <c r="I59" s="19" t="s">
        <v>31</v>
      </c>
      <c r="J59" s="19" t="s">
        <v>31</v>
      </c>
      <c r="K59" s="19" t="s">
        <v>85</v>
      </c>
    </row>
    <row r="60" spans="1:11" s="10" customFormat="1" ht="12.75" customHeight="1" x14ac:dyDescent="0.25">
      <c r="A60" s="15" t="s">
        <v>20</v>
      </c>
      <c r="B60" s="21"/>
      <c r="C60" s="21"/>
      <c r="D60" s="22"/>
      <c r="E60" s="22"/>
      <c r="F60" s="21"/>
      <c r="G60" s="75" t="s">
        <v>44</v>
      </c>
      <c r="H60" s="31" t="s">
        <v>45</v>
      </c>
      <c r="I60" s="19" t="s">
        <v>44</v>
      </c>
      <c r="J60" s="20" t="s">
        <v>45</v>
      </c>
      <c r="K60" s="34"/>
    </row>
    <row r="61" spans="1:11" s="10" customFormat="1" ht="12.75" customHeight="1" x14ac:dyDescent="0.25">
      <c r="A61" s="8" t="s">
        <v>8</v>
      </c>
      <c r="B61" s="14">
        <f>-'[10]May TB Final'!F227</f>
        <v>178968752.09</v>
      </c>
      <c r="C61" s="14">
        <f>-SUM('[10]May TB Final'!F228)</f>
        <v>384418675.31</v>
      </c>
      <c r="D61" s="14">
        <f>-'[10]May TB Final'!F229</f>
        <v>68063595.719999999</v>
      </c>
      <c r="E61" s="14">
        <f>-'[10]May TB Final'!F230</f>
        <v>19581740.739999998</v>
      </c>
      <c r="F61" s="14">
        <f t="shared" ref="F61:F69" si="14">SUM(B61:E61)</f>
        <v>651032763.86000001</v>
      </c>
      <c r="G61" s="26">
        <f t="shared" ref="G61:G69" si="15">SUM(G48+F61)</f>
        <v>4932984027.6500006</v>
      </c>
      <c r="H61" s="26">
        <f>-SUM('[10]May TB Final'!G227:G230)</f>
        <v>4932984027.6500006</v>
      </c>
      <c r="I61" s="23">
        <f>F61</f>
        <v>651032763.86000001</v>
      </c>
      <c r="J61" s="65">
        <f>-SUM('[10]May TB Final'!F227:F230)</f>
        <v>651032763.86000001</v>
      </c>
      <c r="K61" s="52">
        <f>+J61-I61</f>
        <v>0</v>
      </c>
    </row>
    <row r="62" spans="1:11" s="10" customFormat="1" ht="12.75" customHeight="1" x14ac:dyDescent="0.25">
      <c r="A62" s="8" t="s">
        <v>9</v>
      </c>
      <c r="B62" s="14">
        <f>-SUM('[10]May TB Final'!F207,'[10]May TB Final'!F219)</f>
        <v>159005.26</v>
      </c>
      <c r="C62" s="14">
        <f>-SUM('[10]May TB Final'!F208,'[10]May TB Final'!F220)</f>
        <v>334527.78000000003</v>
      </c>
      <c r="D62" s="14">
        <f>-SUM('[10]May TB Final'!F209,'[10]May TB Final'!F221)</f>
        <v>61331.89</v>
      </c>
      <c r="E62" s="14">
        <f>-SUM('[10]May TB Final'!F210,'[10]May TB Final'!F222)</f>
        <v>14976.66</v>
      </c>
      <c r="F62" s="14">
        <f t="shared" si="14"/>
        <v>569841.59000000008</v>
      </c>
      <c r="G62" s="26">
        <f t="shared" si="15"/>
        <v>4050099.8100000005</v>
      </c>
      <c r="H62" s="26">
        <f>-SUM('[10]May TB Final'!G207:G210,'[10]May TB Final'!G219:G222)</f>
        <v>4050099.8099999996</v>
      </c>
      <c r="I62" s="23">
        <f>F62</f>
        <v>569841.59000000008</v>
      </c>
      <c r="J62" s="65">
        <f>-SUM('[10]May TB Final'!F207:F210,'[10]May TB Final'!F219:F222)</f>
        <v>569841.59</v>
      </c>
      <c r="K62" s="52">
        <f t="shared" ref="K62:K70" si="16">J62-I62</f>
        <v>0</v>
      </c>
    </row>
    <row r="63" spans="1:11" s="10" customFormat="1" ht="12.75" customHeight="1" x14ac:dyDescent="0.25">
      <c r="A63" s="8" t="s">
        <v>10</v>
      </c>
      <c r="B63" s="14">
        <f>-'[10]May TB Final'!F211</f>
        <v>7787.23</v>
      </c>
      <c r="C63" s="14">
        <f>-'[10]May TB Final'!F212</f>
        <v>16799.310000000001</v>
      </c>
      <c r="D63" s="14">
        <f>-'[10]May TB Final'!F213</f>
        <v>2955.73</v>
      </c>
      <c r="E63" s="14">
        <f>-'[10]May TB Final'!F214</f>
        <v>878.07</v>
      </c>
      <c r="F63" s="14">
        <f t="shared" si="14"/>
        <v>28420.34</v>
      </c>
      <c r="G63" s="26">
        <f t="shared" si="15"/>
        <v>204021.74</v>
      </c>
      <c r="H63" s="26">
        <f>-SUM('[10]May TB Final'!G211:G214)</f>
        <v>204021.74</v>
      </c>
      <c r="I63" s="23">
        <f>F63</f>
        <v>28420.34</v>
      </c>
      <c r="J63" s="65">
        <f>-SUM('[10]May TB Final'!F211:F214)</f>
        <v>28420.34</v>
      </c>
      <c r="K63" s="52">
        <f t="shared" si="16"/>
        <v>0</v>
      </c>
    </row>
    <row r="64" spans="1:11" s="10" customFormat="1" ht="12.75" customHeight="1" x14ac:dyDescent="0.25">
      <c r="A64" s="8" t="s">
        <v>11</v>
      </c>
      <c r="B64" s="13">
        <f>-'[10]May TB Final'!F215</f>
        <v>0</v>
      </c>
      <c r="C64" s="13">
        <f>-'[10]May TB Final'!F216</f>
        <v>0</v>
      </c>
      <c r="D64" s="13">
        <f>-'[10]May TB Final'!F217</f>
        <v>0</v>
      </c>
      <c r="E64" s="13">
        <f>-'[10]May TB Final'!F218</f>
        <v>0</v>
      </c>
      <c r="F64" s="14">
        <f t="shared" si="14"/>
        <v>0</v>
      </c>
      <c r="G64" s="26">
        <f t="shared" si="15"/>
        <v>1633.53</v>
      </c>
      <c r="H64" s="26">
        <f>-SUM('[10]May TB Final'!G215:G218)</f>
        <v>1633.53</v>
      </c>
      <c r="I64" s="23">
        <f>F64</f>
        <v>0</v>
      </c>
      <c r="J64" s="65">
        <f>SUM('[10]May TB Final'!F215:F218)</f>
        <v>0</v>
      </c>
      <c r="K64" s="52">
        <f t="shared" si="16"/>
        <v>0</v>
      </c>
    </row>
    <row r="65" spans="1:11" s="10" customFormat="1" ht="12.75" customHeight="1" x14ac:dyDescent="0.25">
      <c r="A65" s="8" t="s">
        <v>12</v>
      </c>
      <c r="B65" s="13">
        <f>-'[10]May TB Final'!F243</f>
        <v>-2384553.4500000002</v>
      </c>
      <c r="C65" s="13">
        <f>-'[10]May TB Final'!F244</f>
        <v>-4491090.25</v>
      </c>
      <c r="D65" s="13">
        <f>-'[10]May TB Final'!F245</f>
        <v>33254.74</v>
      </c>
      <c r="E65" s="13">
        <f>-'[10]May TB Final'!F246</f>
        <v>56722.23</v>
      </c>
      <c r="F65" s="14">
        <f t="shared" si="14"/>
        <v>-6785666.7299999995</v>
      </c>
      <c r="G65" s="26">
        <f t="shared" si="15"/>
        <v>-10185427.470000003</v>
      </c>
      <c r="H65" s="26">
        <f>-SUM('[10]May TB Final'!G243:G246)</f>
        <v>-10185427.469999999</v>
      </c>
      <c r="I65" s="23">
        <f>F65</f>
        <v>-6785666.7299999995</v>
      </c>
      <c r="J65" s="65">
        <f>-SUM('[10]May TB Final'!F243:F246)</f>
        <v>-6785666.7299999995</v>
      </c>
      <c r="K65" s="52">
        <f t="shared" si="16"/>
        <v>0</v>
      </c>
    </row>
    <row r="66" spans="1:11" s="10" customFormat="1" ht="12.75" customHeight="1" x14ac:dyDescent="0.25">
      <c r="A66" s="8" t="s">
        <v>13</v>
      </c>
      <c r="B66" s="13">
        <f>-'[10]May TB Final'!F231-'[10]May TB Final'!F239</f>
        <v>-128698377.98</v>
      </c>
      <c r="C66" s="13">
        <f>-'[10]May TB Final'!F232-'[10]May TB Final'!F240</f>
        <v>-317539523.63999999</v>
      </c>
      <c r="D66" s="13">
        <f>-'[10]May TB Final'!F233-'[10]May TB Final'!F241</f>
        <v>-67124754.260000005</v>
      </c>
      <c r="E66" s="13">
        <f>-'[10]May TB Final'!F234-'[10]May TB Final'!F242</f>
        <v>-5568024.5499999998</v>
      </c>
      <c r="F66" s="14">
        <f t="shared" si="14"/>
        <v>-518930680.43000001</v>
      </c>
      <c r="G66" s="26">
        <f t="shared" si="15"/>
        <v>-4612352320.25</v>
      </c>
      <c r="H66" s="26">
        <f>-SUM('[10]May TB Final'!G231:G234,'[10]May TB Final'!G239:G242)</f>
        <v>-4612352320.249999</v>
      </c>
      <c r="I66" s="23">
        <f>-SUM('[10]May TB Final'!F231:F234,'[10]May TB Final'!F239:F242)</f>
        <v>-518930680.43000001</v>
      </c>
      <c r="J66" s="65">
        <f>-SUM('[10]May TB Final'!F231:F234,'[10]May TB Final'!F239:F242)</f>
        <v>-518930680.43000001</v>
      </c>
      <c r="K66" s="52">
        <f t="shared" si="16"/>
        <v>0</v>
      </c>
    </row>
    <row r="67" spans="1:11" s="10" customFormat="1" ht="12.75" customHeight="1" x14ac:dyDescent="0.25">
      <c r="A67" s="8" t="s">
        <v>14</v>
      </c>
      <c r="B67" s="23">
        <f>-'[10]May TB Final'!F235</f>
        <v>-5094812.05</v>
      </c>
      <c r="C67" s="23">
        <f>-'[10]May TB Final'!F236</f>
        <v>-9429176.9399999995</v>
      </c>
      <c r="D67" s="23">
        <f>-'[10]May TB Final'!F237</f>
        <v>-450326.86</v>
      </c>
      <c r="E67" s="23">
        <f>-'[10]May TB Final'!F238</f>
        <v>-319645.34000000003</v>
      </c>
      <c r="F67" s="14">
        <f t="shared" si="14"/>
        <v>-15293961.189999998</v>
      </c>
      <c r="G67" s="26">
        <f t="shared" si="15"/>
        <v>-99890410.5</v>
      </c>
      <c r="H67" s="26">
        <f>-SUM('[10]May TB Final'!G235:G238)</f>
        <v>-99890410.499999985</v>
      </c>
      <c r="I67" s="23">
        <f>F67</f>
        <v>-15293961.189999998</v>
      </c>
      <c r="J67" s="65">
        <f>-SUM('[10]May TB Final'!F235:F238)</f>
        <v>-15293961.189999998</v>
      </c>
      <c r="K67" s="52">
        <f t="shared" si="16"/>
        <v>0</v>
      </c>
    </row>
    <row r="68" spans="1:11" s="10" customFormat="1" ht="12.75" customHeight="1" x14ac:dyDescent="0.25">
      <c r="A68" s="8" t="s">
        <v>15</v>
      </c>
      <c r="B68" s="23">
        <f>-SUM('[10]May TB Final'!F199,'[10]May TB Final'!F203)</f>
        <v>8629022.459999999</v>
      </c>
      <c r="C68" s="23">
        <f>-SUM('[10]May TB Final'!F200,'[10]May TB Final'!F204)</f>
        <v>677418.74</v>
      </c>
      <c r="D68" s="23">
        <f>-SUM('[10]May TB Final'!F201,'[10]May TB Final'!F205)</f>
        <v>321787.21000000002</v>
      </c>
      <c r="E68" s="23">
        <f>-SUM('[10]May TB Final'!F202,'[10]May TB Final'!F206)</f>
        <v>341926.98</v>
      </c>
      <c r="F68" s="14">
        <f t="shared" si="14"/>
        <v>9970155.3900000006</v>
      </c>
      <c r="G68" s="26">
        <f t="shared" si="15"/>
        <v>122104365.08999999</v>
      </c>
      <c r="H68" s="26">
        <f>-SUM('[10]May TB Final'!G199:G206)</f>
        <v>122104365.08999999</v>
      </c>
      <c r="I68" s="23">
        <f>F68</f>
        <v>9970155.3900000006</v>
      </c>
      <c r="J68" s="65">
        <f>-SUM('[10]May TB Final'!F199:F206)</f>
        <v>9970155.3899999987</v>
      </c>
      <c r="K68" s="52">
        <f t="shared" si="16"/>
        <v>0</v>
      </c>
    </row>
    <row r="69" spans="1:11" s="10" customFormat="1" ht="12.75" customHeight="1" x14ac:dyDescent="0.25">
      <c r="A69" s="8" t="s">
        <v>79</v>
      </c>
      <c r="B69" s="23">
        <f>-'[10]May TB Final'!F223</f>
        <v>-2065907</v>
      </c>
      <c r="C69" s="23">
        <f>-'[10]May TB Final'!F224</f>
        <v>-4204193</v>
      </c>
      <c r="D69" s="23">
        <f>-'[10]May TB Final'!F225</f>
        <v>-764578</v>
      </c>
      <c r="E69" s="23">
        <f>-'[10]May TB Final'!F226</f>
        <v>-125322</v>
      </c>
      <c r="F69" s="14">
        <f t="shared" si="14"/>
        <v>-7160000</v>
      </c>
      <c r="G69" s="26">
        <f t="shared" si="15"/>
        <v>-14320000</v>
      </c>
      <c r="H69" s="26">
        <f>-SUM('[10]May TB Final'!G223:G226)</f>
        <v>-14320000</v>
      </c>
      <c r="I69" s="23">
        <f>F69</f>
        <v>-7160000</v>
      </c>
      <c r="J69" s="65">
        <f>-SUM('[10]May TB Final'!F223:F226)</f>
        <v>-7160000</v>
      </c>
      <c r="K69" s="52">
        <f t="shared" si="16"/>
        <v>0</v>
      </c>
    </row>
    <row r="70" spans="1:11" s="20" customFormat="1" ht="12.75" customHeight="1" thickBot="1" x14ac:dyDescent="0.3">
      <c r="A70" s="16" t="s">
        <v>16</v>
      </c>
      <c r="B70" s="17">
        <f>SUM(B57:B69)</f>
        <v>4745049234.0743723</v>
      </c>
      <c r="C70" s="17">
        <f>SUM(C57:C69)</f>
        <v>2879665262.6615748</v>
      </c>
      <c r="D70" s="17">
        <f>SUM(D57:D69)</f>
        <v>2554683533.6461229</v>
      </c>
      <c r="E70" s="17">
        <f>SUM(E57:E69)</f>
        <v>187261744.06502312</v>
      </c>
      <c r="F70" s="17">
        <f>SUM(F57:F69)</f>
        <v>10366659774.44709</v>
      </c>
      <c r="G70" s="35">
        <f>SUM(G61:G69)</f>
        <v>322595989.6000002</v>
      </c>
      <c r="H70" s="35">
        <f>SUM(H61:H69)</f>
        <v>322595989.60000116</v>
      </c>
      <c r="I70" s="35">
        <f>SUM(I61:I69)</f>
        <v>113430872.83000006</v>
      </c>
      <c r="J70" s="35">
        <f>SUM(J61:J69)</f>
        <v>113430872.83000006</v>
      </c>
      <c r="K70" s="52">
        <f t="shared" si="16"/>
        <v>0</v>
      </c>
    </row>
    <row r="71" spans="1:11" s="20" customFormat="1" ht="12.75" customHeight="1" thickTop="1" x14ac:dyDescent="0.25">
      <c r="A71" s="16"/>
      <c r="B71" s="60"/>
      <c r="C71" s="60"/>
      <c r="D71" s="60"/>
      <c r="E71" s="60"/>
      <c r="F71" s="33"/>
      <c r="G71" s="33"/>
      <c r="H71" s="33"/>
      <c r="I71" s="19"/>
      <c r="J71" s="66"/>
      <c r="K71" s="34"/>
    </row>
    <row r="72" spans="1:11" s="10" customFormat="1" ht="12.75" customHeight="1" x14ac:dyDescent="0.25">
      <c r="A72" s="8"/>
      <c r="F72" s="13"/>
      <c r="G72" s="75" t="s">
        <v>84</v>
      </c>
      <c r="H72" s="75" t="s">
        <v>84</v>
      </c>
      <c r="I72" s="19" t="s">
        <v>31</v>
      </c>
      <c r="J72" s="19" t="s">
        <v>31</v>
      </c>
      <c r="K72" s="19" t="s">
        <v>85</v>
      </c>
    </row>
    <row r="73" spans="1:11" s="10" customFormat="1" ht="12.75" customHeight="1" x14ac:dyDescent="0.25">
      <c r="A73" s="15" t="s">
        <v>21</v>
      </c>
      <c r="B73" s="22"/>
      <c r="C73" s="22"/>
      <c r="D73" s="22"/>
      <c r="E73" s="22"/>
      <c r="F73" s="21"/>
      <c r="G73" s="75" t="s">
        <v>44</v>
      </c>
      <c r="H73" s="31" t="s">
        <v>45</v>
      </c>
      <c r="I73" s="19" t="s">
        <v>44</v>
      </c>
      <c r="J73" s="20" t="s">
        <v>45</v>
      </c>
    </row>
    <row r="74" spans="1:11" s="10" customFormat="1" ht="12.75" customHeight="1" x14ac:dyDescent="0.25">
      <c r="A74" s="8" t="s">
        <v>8</v>
      </c>
      <c r="B74" s="14">
        <f>-'[14]June TB'!F236</f>
        <v>179080180</v>
      </c>
      <c r="C74" s="14">
        <f>-'[10]June TB'!F237</f>
        <v>384753773.87</v>
      </c>
      <c r="D74" s="14">
        <f>-'[10]June TB'!F238</f>
        <v>68039705.920000002</v>
      </c>
      <c r="E74" s="14">
        <f>-'[10]June TB'!F239</f>
        <v>19884059.300000001</v>
      </c>
      <c r="F74" s="33">
        <f t="shared" ref="F74:F82" si="17">SUM(B74:E74)</f>
        <v>651757719.08999991</v>
      </c>
      <c r="G74" s="26">
        <f t="shared" ref="G74:G82" si="18">SUM(G61+F74)</f>
        <v>5584741746.7400007</v>
      </c>
      <c r="H74" s="14">
        <f>-SUM('[10]June TB'!G236:G239)</f>
        <v>5584741746.7399998</v>
      </c>
      <c r="I74" s="23">
        <f t="shared" ref="I74:I82" si="19">F74</f>
        <v>651757719.08999991</v>
      </c>
      <c r="J74" s="10">
        <f>-SUM('[10]June TB'!F236:F239)</f>
        <v>651757719.08999991</v>
      </c>
      <c r="K74" s="52">
        <f t="shared" ref="K74:K82" si="20">J74-I74</f>
        <v>0</v>
      </c>
    </row>
    <row r="75" spans="1:11" s="10" customFormat="1" ht="12.75" customHeight="1" x14ac:dyDescent="0.25">
      <c r="A75" s="8" t="s">
        <v>9</v>
      </c>
      <c r="B75" s="13">
        <f>-SUM('[10]June TB'!F216,'[10]June TB'!F228)</f>
        <v>176448.51</v>
      </c>
      <c r="C75" s="13">
        <f>-SUM('[10]June TB'!F217,'[10]June TB'!F229)</f>
        <v>372030.3</v>
      </c>
      <c r="D75" s="13">
        <f>-SUM('[10]June TB'!F218,'[10]June TB'!F230)</f>
        <v>67912.62</v>
      </c>
      <c r="E75" s="13">
        <f>-SUM('[10]June TB'!F219,'[10]June TB'!F231)</f>
        <v>16890.490000000002</v>
      </c>
      <c r="F75" s="33">
        <f t="shared" si="17"/>
        <v>633281.92000000004</v>
      </c>
      <c r="G75" s="26">
        <f t="shared" si="18"/>
        <v>4683381.7300000004</v>
      </c>
      <c r="H75" s="26">
        <f>-SUM('[10]June TB'!G216:G219,'[10]June TB'!G228:G231)</f>
        <v>4683381.7300000004</v>
      </c>
      <c r="I75" s="23">
        <f t="shared" si="19"/>
        <v>633281.92000000004</v>
      </c>
      <c r="J75" s="34">
        <f>-SUM('[10]June TB'!F216:F219,'[10]June TB'!F228:F231)</f>
        <v>633281.91999999993</v>
      </c>
      <c r="K75" s="52">
        <f t="shared" si="20"/>
        <v>0</v>
      </c>
    </row>
    <row r="76" spans="1:11" s="10" customFormat="1" ht="12.75" customHeight="1" x14ac:dyDescent="0.25">
      <c r="A76" s="8" t="s">
        <v>10</v>
      </c>
      <c r="B76" s="13">
        <f>-SUM('[10]June TB'!F220)</f>
        <v>6898.44</v>
      </c>
      <c r="C76" s="13">
        <f>-'[10]June TB'!F221</f>
        <v>14882.09</v>
      </c>
      <c r="D76" s="13">
        <f>-'[10]June TB'!F222</f>
        <v>2618.39</v>
      </c>
      <c r="E76" s="13">
        <f>-'[14]June TB'!$F$223</f>
        <v>778</v>
      </c>
      <c r="F76" s="33">
        <f t="shared" si="17"/>
        <v>25176.92</v>
      </c>
      <c r="G76" s="26">
        <f t="shared" si="18"/>
        <v>229198.65999999997</v>
      </c>
      <c r="H76" s="14">
        <f>-SUM('[10]June TB'!G220:G223)</f>
        <v>229198.66000000003</v>
      </c>
      <c r="I76" s="23">
        <f t="shared" si="19"/>
        <v>25176.92</v>
      </c>
      <c r="J76" s="34">
        <f>-SUM('[10]June TB'!F220:F223)</f>
        <v>25176.92</v>
      </c>
      <c r="K76" s="52">
        <f t="shared" si="20"/>
        <v>0</v>
      </c>
    </row>
    <row r="77" spans="1:11" s="10" customFormat="1" ht="12.75" customHeight="1" x14ac:dyDescent="0.25">
      <c r="A77" s="8" t="s">
        <v>11</v>
      </c>
      <c r="B77" s="13">
        <f>'[10]June TB'!F224</f>
        <v>0</v>
      </c>
      <c r="C77" s="13">
        <f>'[10]June TB'!F225</f>
        <v>0</v>
      </c>
      <c r="D77" s="13">
        <f>'[10]June TB'!F226</f>
        <v>0</v>
      </c>
      <c r="E77" s="13">
        <f>'[10]June TB'!F227</f>
        <v>0</v>
      </c>
      <c r="F77" s="33">
        <f t="shared" si="17"/>
        <v>0</v>
      </c>
      <c r="G77" s="26">
        <f t="shared" si="18"/>
        <v>1633.53</v>
      </c>
      <c r="H77" s="14">
        <f>-SUM('[10]June TB'!G224:G227)</f>
        <v>1633.53</v>
      </c>
      <c r="I77" s="23">
        <f t="shared" si="19"/>
        <v>0</v>
      </c>
      <c r="J77" s="34">
        <f>SUM('[10]June TB'!F249:F252)</f>
        <v>0</v>
      </c>
      <c r="K77" s="52">
        <f t="shared" si="20"/>
        <v>0</v>
      </c>
    </row>
    <row r="78" spans="1:11" s="10" customFormat="1" ht="12.75" customHeight="1" x14ac:dyDescent="0.25">
      <c r="A78" s="8" t="s">
        <v>12</v>
      </c>
      <c r="B78" s="13">
        <f>-'[10]June TB'!F272</f>
        <v>228507.78</v>
      </c>
      <c r="C78" s="13">
        <f>-'[10]June TB'!F273</f>
        <v>809510.77</v>
      </c>
      <c r="D78" s="13">
        <f>-'[10]June TB'!F274</f>
        <v>429211.63</v>
      </c>
      <c r="E78" s="13">
        <f>-'[10]June TB'!F275</f>
        <v>-275450.51</v>
      </c>
      <c r="F78" s="33">
        <f t="shared" si="17"/>
        <v>1191779.6700000002</v>
      </c>
      <c r="G78" s="26">
        <f t="shared" si="18"/>
        <v>-8993647.8000000026</v>
      </c>
      <c r="H78" s="14">
        <f>-SUM('[10]June TB'!G272:G275)</f>
        <v>-8993647.8000000007</v>
      </c>
      <c r="I78" s="23">
        <f t="shared" si="19"/>
        <v>1191779.6700000002</v>
      </c>
      <c r="J78" s="34">
        <f>-SUM('[10]June TB'!F272:F275)</f>
        <v>1191779.6700000002</v>
      </c>
      <c r="K78" s="52">
        <f t="shared" si="20"/>
        <v>0</v>
      </c>
    </row>
    <row r="79" spans="1:11" s="10" customFormat="1" ht="12.75" customHeight="1" x14ac:dyDescent="0.25">
      <c r="A79" s="8" t="s">
        <v>13</v>
      </c>
      <c r="B79" s="13">
        <f>-SUM('[10]June TB'!F259,'[10]June TB'!F268)</f>
        <v>-118293862.18000001</v>
      </c>
      <c r="C79" s="13">
        <f>-SUM('[10]June TB'!F260,'[10]June TB'!F269)</f>
        <v>-370774096.12</v>
      </c>
      <c r="D79" s="13">
        <f>-SUM('[10]June TB'!F261,'[10]June TB'!F270)</f>
        <v>-68180038.609999999</v>
      </c>
      <c r="E79" s="13">
        <f>-SUM('[10]June TB'!F262,'[10]June TB'!F271)</f>
        <v>-3814145.82</v>
      </c>
      <c r="F79" s="33">
        <f t="shared" si="17"/>
        <v>-561062142.73000002</v>
      </c>
      <c r="G79" s="26">
        <f t="shared" si="18"/>
        <v>-5173414462.9799995</v>
      </c>
      <c r="H79" s="14">
        <f>-SUM('[10]June TB'!G259:G262,'[10]June TB'!G268:G271)</f>
        <v>-5173414462.9799995</v>
      </c>
      <c r="I79" s="23">
        <f t="shared" si="19"/>
        <v>-561062142.73000002</v>
      </c>
      <c r="J79" s="65">
        <f>-SUM('[10]June TB'!F259:F262,'[10]June TB'!F268:F271)</f>
        <v>-561062142.7299999</v>
      </c>
      <c r="K79" s="52">
        <f t="shared" si="20"/>
        <v>0</v>
      </c>
    </row>
    <row r="80" spans="1:11" s="10" customFormat="1" ht="12.75" customHeight="1" x14ac:dyDescent="0.25">
      <c r="A80" s="8" t="s">
        <v>14</v>
      </c>
      <c r="B80" s="23">
        <f>-'[10]June TB'!F264</f>
        <v>-22980542.09</v>
      </c>
      <c r="C80" s="23">
        <f>-'[10]June TB'!F265</f>
        <v>-4049152.43</v>
      </c>
      <c r="D80" s="23">
        <f>-'[10]June TB'!F266</f>
        <v>1804963.42</v>
      </c>
      <c r="E80" s="23">
        <f>-'[10]June TB'!F267</f>
        <v>1019622.77</v>
      </c>
      <c r="F80" s="33">
        <f t="shared" si="17"/>
        <v>-24205108.330000002</v>
      </c>
      <c r="G80" s="26">
        <f t="shared" si="18"/>
        <v>-124095518.83</v>
      </c>
      <c r="H80" s="14">
        <f>-SUM('[10]June TB'!G264:G267)</f>
        <v>-124095518.83</v>
      </c>
      <c r="I80" s="23">
        <f t="shared" si="19"/>
        <v>-24205108.330000002</v>
      </c>
      <c r="J80" s="65">
        <f>-SUM('[10]June TB'!F264:F267)</f>
        <v>-24205108.330000002</v>
      </c>
      <c r="K80" s="52">
        <f t="shared" si="20"/>
        <v>0</v>
      </c>
    </row>
    <row r="81" spans="1:11" s="10" customFormat="1" ht="12.75" customHeight="1" x14ac:dyDescent="0.25">
      <c r="A81" s="8" t="s">
        <v>15</v>
      </c>
      <c r="B81" s="23">
        <f>-SUM('[10]June TB'!F208,'[10]June TB'!F212)</f>
        <v>7565851.0900000008</v>
      </c>
      <c r="C81" s="23">
        <f>-SUM('[10]June TB'!F209,'[10]June TB'!F213)</f>
        <v>643278.6</v>
      </c>
      <c r="D81" s="23">
        <f>-SUM('[10]June TB'!F210,'[10]June TB'!F214)</f>
        <v>277637.55</v>
      </c>
      <c r="E81" s="23">
        <f>-SUM('[10]June TB'!F211,'[10]June TB'!F215)</f>
        <v>323492.67</v>
      </c>
      <c r="F81" s="33">
        <f t="shared" si="17"/>
        <v>8810259.9100000001</v>
      </c>
      <c r="G81" s="26">
        <f t="shared" si="18"/>
        <v>130914624.99999999</v>
      </c>
      <c r="H81" s="14">
        <f>-SUM('[10]June TB'!G208:G215)</f>
        <v>130914624.99999999</v>
      </c>
      <c r="I81" s="23">
        <f t="shared" si="19"/>
        <v>8810259.9100000001</v>
      </c>
      <c r="J81" s="34">
        <f>-SUM('[10]June TB'!F208:F215)</f>
        <v>8810259.910000002</v>
      </c>
      <c r="K81" s="52">
        <f t="shared" si="20"/>
        <v>0</v>
      </c>
    </row>
    <row r="82" spans="1:11" s="10" customFormat="1" ht="12.75" customHeight="1" x14ac:dyDescent="0.25">
      <c r="A82" s="8" t="s">
        <v>79</v>
      </c>
      <c r="B82" s="23">
        <f>'[10]June TB'!F232</f>
        <v>0</v>
      </c>
      <c r="C82" s="23">
        <f>'[10]June TB'!F233</f>
        <v>0</v>
      </c>
      <c r="D82" s="23">
        <f>'[10]June TB'!F234</f>
        <v>0</v>
      </c>
      <c r="E82" s="23">
        <f>'[10]June TB'!F235</f>
        <v>0</v>
      </c>
      <c r="F82" s="33">
        <f t="shared" si="17"/>
        <v>0</v>
      </c>
      <c r="G82" s="26">
        <f t="shared" si="18"/>
        <v>-14320000</v>
      </c>
      <c r="H82" s="14">
        <f>-SUM('[10]June TB'!G232:G235)</f>
        <v>-14320000</v>
      </c>
      <c r="I82" s="23">
        <f t="shared" si="19"/>
        <v>0</v>
      </c>
      <c r="J82" s="34">
        <f>SUM('[10]June TB'!F232:F235)</f>
        <v>0</v>
      </c>
      <c r="K82" s="52">
        <f t="shared" si="20"/>
        <v>0</v>
      </c>
    </row>
    <row r="83" spans="1:11" s="20" customFormat="1" ht="12.75" customHeight="1" thickBot="1" x14ac:dyDescent="0.3">
      <c r="A83" s="16" t="s">
        <v>16</v>
      </c>
      <c r="B83" s="17">
        <f>B70+B74+B75+B76+B77+B78+B79+B80+B81+B82</f>
        <v>4790832715.6243715</v>
      </c>
      <c r="C83" s="17">
        <f>C70+C74+C75+C76+C77+C78+C79+C80+C81+C82</f>
        <v>2891435489.7415752</v>
      </c>
      <c r="D83" s="17">
        <f>D70+D74+D75+D76+D77+D78+D79+D80+D81+D82</f>
        <v>2557125544.566123</v>
      </c>
      <c r="E83" s="17">
        <f>E70+E74+E75+E76+E77+E78+E79+E80+E81+E82</f>
        <v>204416990.96502316</v>
      </c>
      <c r="F83" s="17">
        <f>F70+F74+F75+F76+F77+F78+F79+F80+F81+F82</f>
        <v>10443810740.897091</v>
      </c>
      <c r="G83" s="81">
        <f>G74+G75+G76+G77+G78+G79+G80+G81+G82</f>
        <v>399746956.05000013</v>
      </c>
      <c r="H83" s="81">
        <f>H74+H75+H76+H77+H78+H79+H80+H81+H82</f>
        <v>399746956.04999918</v>
      </c>
      <c r="I83" s="81">
        <f>I74+I75+I76+I77+I78+I79+I80+I81+I82</f>
        <v>77150966.449999765</v>
      </c>
      <c r="J83" s="81">
        <f>J74+J75+J76+J77+J78+J79+J80+J81+J82</f>
        <v>77150966.449999884</v>
      </c>
      <c r="K83" s="17">
        <f>K70+K74+K75+K76+K77+K78+K79+K80+K81+K82</f>
        <v>0</v>
      </c>
    </row>
    <row r="84" spans="1:11" s="20" customFormat="1" ht="12.75" customHeight="1" thickTop="1" x14ac:dyDescent="0.25">
      <c r="A84" s="16"/>
      <c r="B84" s="60"/>
      <c r="C84" s="60"/>
      <c r="D84" s="60"/>
      <c r="E84" s="60"/>
      <c r="F84" s="60"/>
      <c r="G84" s="60"/>
      <c r="H84" s="60">
        <f>+G75-H75</f>
        <v>0</v>
      </c>
      <c r="I84" s="19"/>
    </row>
    <row r="85" spans="1:11" s="10" customFormat="1" ht="12.75" customHeight="1" x14ac:dyDescent="0.25">
      <c r="A85" s="8"/>
      <c r="B85" s="13"/>
      <c r="C85" s="13"/>
      <c r="F85" s="13"/>
      <c r="G85" s="19" t="s">
        <v>32</v>
      </c>
      <c r="H85" s="19" t="s">
        <v>32</v>
      </c>
      <c r="I85" s="19" t="s">
        <v>31</v>
      </c>
      <c r="J85" s="19" t="s">
        <v>31</v>
      </c>
      <c r="K85" s="19" t="s">
        <v>85</v>
      </c>
    </row>
    <row r="86" spans="1:11" s="10" customFormat="1" ht="12.75" customHeight="1" x14ac:dyDescent="0.25">
      <c r="A86" s="15" t="s">
        <v>22</v>
      </c>
      <c r="B86" s="21"/>
      <c r="C86" s="21"/>
      <c r="D86" s="22"/>
      <c r="E86" s="22"/>
      <c r="F86" s="21"/>
      <c r="G86" s="19" t="s">
        <v>44</v>
      </c>
      <c r="H86" s="20" t="s">
        <v>45</v>
      </c>
      <c r="I86" s="19" t="s">
        <v>44</v>
      </c>
      <c r="J86" s="20" t="s">
        <v>45</v>
      </c>
    </row>
    <row r="87" spans="1:11" s="10" customFormat="1" ht="12.75" customHeight="1" x14ac:dyDescent="0.25">
      <c r="A87" s="8" t="s">
        <v>8</v>
      </c>
      <c r="B87" s="14">
        <f>-'[10]July TB'!F236</f>
        <v>195519604.81</v>
      </c>
      <c r="C87" s="14">
        <f>-'[10]July TB'!F237</f>
        <v>413221388.54000002</v>
      </c>
      <c r="D87" s="14">
        <f>-'[10]July TB'!F238</f>
        <v>72963907.579999998</v>
      </c>
      <c r="E87" s="14">
        <f>-'[10]July TB'!F239</f>
        <v>18522096.48</v>
      </c>
      <c r="F87" s="33">
        <f t="shared" ref="F87:F95" si="21">SUM(B87:E87)</f>
        <v>700226997.41000009</v>
      </c>
      <c r="G87" s="26">
        <f t="shared" ref="G87:G95" si="22">SUM(G74+F87)</f>
        <v>6284968744.1500006</v>
      </c>
      <c r="H87" s="14">
        <f>SUM('[10]July TB'!G236:G239)</f>
        <v>-6284968744.1500006</v>
      </c>
      <c r="I87" s="13">
        <f t="shared" ref="I87:I95" si="23">F87</f>
        <v>700226997.41000009</v>
      </c>
      <c r="J87" s="10">
        <f>-SUM('[10]July TB'!F236:F239)</f>
        <v>700226997.41000009</v>
      </c>
      <c r="K87" s="52">
        <f>J87-I87</f>
        <v>0</v>
      </c>
    </row>
    <row r="88" spans="1:11" s="10" customFormat="1" ht="12.75" customHeight="1" x14ac:dyDescent="0.25">
      <c r="A88" s="8" t="s">
        <v>9</v>
      </c>
      <c r="B88" s="26">
        <f>-SUM('[10]July TB'!F216,'[10]July TB'!F228)</f>
        <v>-153257.19</v>
      </c>
      <c r="C88" s="26">
        <f>-SUM('[10]July TB'!F217,'[10]July TB'!F229)</f>
        <v>-323915.56</v>
      </c>
      <c r="D88" s="26">
        <f>-SUM('[10]July TB'!F218,'[10]July TB'!F230)</f>
        <v>-57139.19</v>
      </c>
      <c r="E88" s="26">
        <f>-SUM('[10]July TB'!F219,'[10]July TB'!F231)</f>
        <v>-14608.619999999999</v>
      </c>
      <c r="F88" s="33">
        <f t="shared" si="21"/>
        <v>-548920.55999999994</v>
      </c>
      <c r="G88" s="26">
        <f t="shared" si="22"/>
        <v>4134461.1700000004</v>
      </c>
      <c r="H88" s="26">
        <f>SUM('[10]July TB'!G216:G219,'[10]July TB'!G228:G231)</f>
        <v>-4134461.17</v>
      </c>
      <c r="I88" s="13">
        <f t="shared" si="23"/>
        <v>-548920.55999999994</v>
      </c>
      <c r="J88" s="13">
        <f>-SUM('[10]July TB'!F216:F219,'[10]July TB'!F228:F231)</f>
        <v>-548920.55999999994</v>
      </c>
      <c r="K88" s="52">
        <f t="shared" ref="K88:K96" si="24">I88-J88</f>
        <v>0</v>
      </c>
    </row>
    <row r="89" spans="1:11" s="10" customFormat="1" ht="12.75" customHeight="1" x14ac:dyDescent="0.25">
      <c r="A89" s="8" t="s">
        <v>10</v>
      </c>
      <c r="B89" s="13">
        <f>-SUM('[10]July TB'!F220)</f>
        <v>196478.1</v>
      </c>
      <c r="C89" s="13">
        <f>-SUM('[10]July TB'!F221)</f>
        <v>415264.03</v>
      </c>
      <c r="D89" s="13">
        <f>-'[10]July TB'!F222</f>
        <v>73257</v>
      </c>
      <c r="E89" s="13">
        <f>-'[10]July TB'!F223</f>
        <v>18719.060000000001</v>
      </c>
      <c r="F89" s="33">
        <f t="shared" si="21"/>
        <v>703718.19000000006</v>
      </c>
      <c r="G89" s="26">
        <f t="shared" si="22"/>
        <v>932916.85000000009</v>
      </c>
      <c r="H89" s="26">
        <f>SUM('[10]July TB'!G220:G223)</f>
        <v>-932916.85000000009</v>
      </c>
      <c r="I89" s="13">
        <f t="shared" si="23"/>
        <v>703718.19000000006</v>
      </c>
      <c r="J89" s="34">
        <f>-SUM('[10]July TB'!F220:F223)</f>
        <v>703718.19000000006</v>
      </c>
      <c r="K89" s="52">
        <f t="shared" si="24"/>
        <v>0</v>
      </c>
    </row>
    <row r="90" spans="1:11" s="10" customFormat="1" ht="12.75" customHeight="1" x14ac:dyDescent="0.25">
      <c r="A90" s="8" t="s">
        <v>11</v>
      </c>
      <c r="B90" s="13">
        <f>-'[10]July TB'!F224</f>
        <v>0</v>
      </c>
      <c r="C90" s="13">
        <f>-'[10]July TB'!F225</f>
        <v>0</v>
      </c>
      <c r="D90" s="13">
        <f>-'[10]July TB'!F226</f>
        <v>0</v>
      </c>
      <c r="E90" s="13">
        <f>-'[10]July TB'!F227</f>
        <v>0</v>
      </c>
      <c r="F90" s="33">
        <f t="shared" si="21"/>
        <v>0</v>
      </c>
      <c r="G90" s="26">
        <f t="shared" si="22"/>
        <v>1633.53</v>
      </c>
      <c r="H90" s="26">
        <f>SUM('[10]July TB'!G224:G227)</f>
        <v>-1633.53</v>
      </c>
      <c r="I90" s="13">
        <f t="shared" si="23"/>
        <v>0</v>
      </c>
      <c r="J90" s="34">
        <f>SUM('[10]July TB'!F224:F227)</f>
        <v>0</v>
      </c>
      <c r="K90" s="52">
        <f t="shared" si="24"/>
        <v>0</v>
      </c>
    </row>
    <row r="91" spans="1:11" s="10" customFormat="1" ht="12.75" customHeight="1" x14ac:dyDescent="0.25">
      <c r="A91" s="8" t="s">
        <v>12</v>
      </c>
      <c r="B91" s="13">
        <f>-'[10]July TB'!F272</f>
        <v>4918271.46</v>
      </c>
      <c r="C91" s="13">
        <f>-'[10]July TB'!F273</f>
        <v>9027994.8100000005</v>
      </c>
      <c r="D91" s="13">
        <f>-'[10]July TB'!F274</f>
        <v>1590462.14</v>
      </c>
      <c r="E91" s="13">
        <f>-'[10]July TB'!F275</f>
        <v>413186.97</v>
      </c>
      <c r="F91" s="33">
        <f t="shared" si="21"/>
        <v>15949915.380000001</v>
      </c>
      <c r="G91" s="26">
        <f t="shared" si="22"/>
        <v>6956267.5799999982</v>
      </c>
      <c r="H91" s="26">
        <f>SUM('[10]July TB'!G272:G275)</f>
        <v>-6956267.5800000001</v>
      </c>
      <c r="I91" s="13">
        <f t="shared" si="23"/>
        <v>15949915.380000001</v>
      </c>
      <c r="J91" s="34">
        <f>-SUM('[10]July TB'!F272:F275)</f>
        <v>15949915.380000001</v>
      </c>
      <c r="K91" s="52">
        <f t="shared" si="24"/>
        <v>0</v>
      </c>
    </row>
    <row r="92" spans="1:11" s="10" customFormat="1" ht="12.75" customHeight="1" x14ac:dyDescent="0.25">
      <c r="A92" s="8" t="s">
        <v>13</v>
      </c>
      <c r="B92" s="13">
        <f>-SUM('[10]July TB'!F259,'[10]July TB'!F268)</f>
        <v>-151350851.43000001</v>
      </c>
      <c r="C92" s="13">
        <f>-SUM('[10]July TB'!F260,'[10]July TB'!F269)</f>
        <v>-367953778.19999999</v>
      </c>
      <c r="D92" s="13">
        <f>-SUM('[10]July TB'!F261,'[10]July TB'!F270)</f>
        <v>-70557223.230000004</v>
      </c>
      <c r="E92" s="13">
        <f>-SUM('[10]July TB'!F262,'[10]July TB'!F271)</f>
        <v>-4727622.8899999997</v>
      </c>
      <c r="F92" s="33">
        <f t="shared" si="21"/>
        <v>-594589475.75</v>
      </c>
      <c r="G92" s="26">
        <f t="shared" si="22"/>
        <v>-5768003938.7299995</v>
      </c>
      <c r="H92" s="26">
        <f>SUM('[10]July TB'!G259:G262,'[10]July TB'!G268:G271)</f>
        <v>5768003938.7300005</v>
      </c>
      <c r="I92" s="13">
        <f t="shared" si="23"/>
        <v>-594589475.75</v>
      </c>
      <c r="J92" s="13">
        <f>-SUM('[10]July TB'!F259:F263,'[10]July TB'!F268:F271)</f>
        <v>-594589475.75</v>
      </c>
      <c r="K92" s="52">
        <f t="shared" si="24"/>
        <v>0</v>
      </c>
    </row>
    <row r="93" spans="1:11" s="10" customFormat="1" ht="12.75" customHeight="1" x14ac:dyDescent="0.25">
      <c r="A93" s="8" t="s">
        <v>14</v>
      </c>
      <c r="B93" s="23">
        <f>-SUM('[10]July TB'!F264)</f>
        <v>-7169569.7199999997</v>
      </c>
      <c r="C93" s="23">
        <f>-'[10]July TB'!F265</f>
        <v>-3775873.23</v>
      </c>
      <c r="D93" s="23">
        <f>-'[10]July TB'!F266</f>
        <v>-1744933.39</v>
      </c>
      <c r="E93" s="23">
        <f>-'[10]July TB'!F267</f>
        <v>-1809183.31</v>
      </c>
      <c r="F93" s="33">
        <f t="shared" si="21"/>
        <v>-14499559.65</v>
      </c>
      <c r="G93" s="26">
        <f t="shared" si="22"/>
        <v>-138595078.47999999</v>
      </c>
      <c r="H93" s="14">
        <f>SUM('[10]July TB'!G264:G267)</f>
        <v>138595078.47999999</v>
      </c>
      <c r="I93" s="13">
        <f t="shared" si="23"/>
        <v>-14499559.65</v>
      </c>
      <c r="J93" s="13">
        <f>-SUM('[10]July TB'!F264:F267)</f>
        <v>-14499559.65</v>
      </c>
      <c r="K93" s="52">
        <f t="shared" si="24"/>
        <v>0</v>
      </c>
    </row>
    <row r="94" spans="1:11" s="10" customFormat="1" ht="12.75" customHeight="1" x14ac:dyDescent="0.25">
      <c r="A94" s="8" t="s">
        <v>15</v>
      </c>
      <c r="B94" s="23">
        <f>-SUM('[10]July TB'!F208,'[10]July TB'!F212)</f>
        <v>7721833.2799999993</v>
      </c>
      <c r="C94" s="23">
        <f>-SUM('[10]July TB'!F209,'[10]July TB'!F213)</f>
        <v>669522.94999999995</v>
      </c>
      <c r="D94" s="23">
        <f>-SUM('[10]July TB'!F210,'[10]July TB'!F214)</f>
        <v>276202.67</v>
      </c>
      <c r="E94" s="23">
        <f>-SUM('[10]July TB'!F211,'[10]July TB'!F215)</f>
        <v>355148.47000000003</v>
      </c>
      <c r="F94" s="33">
        <f t="shared" si="21"/>
        <v>9022707.3699999992</v>
      </c>
      <c r="G94" s="26">
        <f t="shared" si="22"/>
        <v>139937332.36999997</v>
      </c>
      <c r="H94" s="14">
        <f>SUM('[10]July TB'!G208:G215)</f>
        <v>-139937332.37</v>
      </c>
      <c r="I94" s="13">
        <f t="shared" si="23"/>
        <v>9022707.3699999992</v>
      </c>
      <c r="J94" s="34">
        <f>-SUM('[10]July TB'!F208:F215)</f>
        <v>9022707.3699999992</v>
      </c>
      <c r="K94" s="52">
        <f t="shared" si="24"/>
        <v>0</v>
      </c>
    </row>
    <row r="95" spans="1:11" s="10" customFormat="1" ht="12.75" customHeight="1" x14ac:dyDescent="0.25">
      <c r="A95" s="8" t="s">
        <v>79</v>
      </c>
      <c r="B95" s="23">
        <v>0</v>
      </c>
      <c r="C95" s="23">
        <v>0</v>
      </c>
      <c r="D95" s="23">
        <v>0</v>
      </c>
      <c r="E95" s="23">
        <v>0</v>
      </c>
      <c r="F95" s="33">
        <f t="shared" si="21"/>
        <v>0</v>
      </c>
      <c r="G95" s="26">
        <f t="shared" si="22"/>
        <v>-14320000</v>
      </c>
      <c r="H95" s="14">
        <f>SUM('[10]July TB'!G232:G235)</f>
        <v>14320000</v>
      </c>
      <c r="I95" s="13">
        <f t="shared" si="23"/>
        <v>0</v>
      </c>
      <c r="J95" s="34">
        <f>SUM('[10]July TB'!F232:F235)</f>
        <v>0</v>
      </c>
      <c r="K95" s="52">
        <f t="shared" si="24"/>
        <v>0</v>
      </c>
    </row>
    <row r="96" spans="1:11" s="20" customFormat="1" ht="12.75" customHeight="1" thickBot="1" x14ac:dyDescent="0.3">
      <c r="A96" s="16" t="s">
        <v>16</v>
      </c>
      <c r="B96" s="17">
        <f>SUM(B87:B95)+B83</f>
        <v>4840515224.9343719</v>
      </c>
      <c r="C96" s="17">
        <f>SUM(C87:C95)+C83</f>
        <v>2942716093.0815754</v>
      </c>
      <c r="D96" s="17">
        <f>SUM(D87:D95)+D83</f>
        <v>2559670078.1461229</v>
      </c>
      <c r="E96" s="17">
        <f>SUM(E87:E95)+E83</f>
        <v>217174727.12502316</v>
      </c>
      <c r="F96" s="17">
        <f>SUM(F87:F95)+F83</f>
        <v>10560076123.28709</v>
      </c>
      <c r="G96" s="82">
        <f>G87+G88+G89+G90+G91+G92+G93+G94+G95</f>
        <v>516012338.44000113</v>
      </c>
      <c r="H96" s="82">
        <f>H87+H88+H89+H90+H91+H92+H93+H94+H95</f>
        <v>-516012338.44000018</v>
      </c>
      <c r="I96" s="82">
        <f>SUM(I87:I95)</f>
        <v>116265382.39000019</v>
      </c>
      <c r="J96" s="82">
        <f>SUM(J87:J95)</f>
        <v>116265382.39000019</v>
      </c>
      <c r="K96" s="17">
        <f t="shared" si="24"/>
        <v>0</v>
      </c>
    </row>
    <row r="97" spans="1:12" s="20" customFormat="1" ht="12.75" customHeight="1" thickTop="1" x14ac:dyDescent="0.25">
      <c r="A97" s="16"/>
      <c r="B97" s="60"/>
      <c r="C97" s="60"/>
      <c r="D97" s="60"/>
      <c r="E97" s="60"/>
      <c r="F97" s="33"/>
      <c r="G97" s="33"/>
      <c r="H97" s="33"/>
      <c r="I97" s="19"/>
    </row>
    <row r="98" spans="1:12" s="10" customFormat="1" ht="12.75" customHeight="1" x14ac:dyDescent="0.25">
      <c r="A98" s="8"/>
      <c r="B98" s="13"/>
      <c r="C98" s="13"/>
      <c r="F98" s="13"/>
      <c r="G98" s="19" t="s">
        <v>32</v>
      </c>
      <c r="H98" s="19" t="s">
        <v>32</v>
      </c>
      <c r="I98" s="19" t="s">
        <v>31</v>
      </c>
      <c r="J98" s="19" t="s">
        <v>31</v>
      </c>
      <c r="K98" s="19" t="s">
        <v>85</v>
      </c>
    </row>
    <row r="99" spans="1:12" s="10" customFormat="1" ht="12.75" customHeight="1" x14ac:dyDescent="0.3">
      <c r="A99" s="15" t="s">
        <v>23</v>
      </c>
      <c r="B99" s="21"/>
      <c r="C99" s="21"/>
      <c r="D99" s="22"/>
      <c r="E99" s="22"/>
      <c r="F99" s="78"/>
      <c r="G99" s="19" t="s">
        <v>44</v>
      </c>
      <c r="H99" s="20" t="s">
        <v>45</v>
      </c>
      <c r="I99" s="19" t="s">
        <v>44</v>
      </c>
      <c r="J99" s="20" t="s">
        <v>45</v>
      </c>
      <c r="L99" s="76"/>
    </row>
    <row r="100" spans="1:12" s="10" customFormat="1" ht="12.75" customHeight="1" x14ac:dyDescent="0.25">
      <c r="A100" s="8" t="s">
        <v>8</v>
      </c>
      <c r="B100" s="14">
        <f>'[15]Aug 08'!$D$9</f>
        <v>187291157.36000001</v>
      </c>
      <c r="C100" s="14">
        <f>'[15]Aug 08'!$D$10</f>
        <v>416220173.16000003</v>
      </c>
      <c r="D100" s="14">
        <f>'[15]Aug 08'!$D$11</f>
        <v>73526895.079999998</v>
      </c>
      <c r="E100" s="14">
        <f>'[15]Aug 08'!$D$12</f>
        <v>28295413.489999998</v>
      </c>
      <c r="F100" s="80">
        <f t="shared" ref="F100:F108" si="25">SUM(B100:E100)</f>
        <v>705333639.09000003</v>
      </c>
      <c r="G100" s="26">
        <f t="shared" ref="G100:G108" si="26">SUM(G87+F100)</f>
        <v>6990302383.2400007</v>
      </c>
      <c r="H100" s="14">
        <f>'[15]Aug 08'!$E$14</f>
        <v>6990302383.2399998</v>
      </c>
      <c r="I100" s="13">
        <f t="shared" ref="I100:I108" si="27">F100</f>
        <v>705333639.09000003</v>
      </c>
      <c r="J100" s="13">
        <f>'[15]Aug 08'!$D$14</f>
        <v>705333639.09000003</v>
      </c>
      <c r="K100" s="79">
        <f t="shared" ref="K100:K107" si="28">I100-J100</f>
        <v>0</v>
      </c>
    </row>
    <row r="101" spans="1:12" s="10" customFormat="1" ht="12.75" customHeight="1" x14ac:dyDescent="0.25">
      <c r="A101" s="8" t="s">
        <v>9</v>
      </c>
      <c r="B101" s="13">
        <f>'[15]Aug 08'!$D$16</f>
        <v>40960.720000000001</v>
      </c>
      <c r="C101" s="13">
        <f>'[15]Aug 08'!$D$17</f>
        <v>86574.94</v>
      </c>
      <c r="D101" s="23">
        <f>'[15]Aug 08'!$D$18</f>
        <v>15273.84</v>
      </c>
      <c r="E101" s="23">
        <f>'[15]Aug 08'!$D$19</f>
        <v>3900.14</v>
      </c>
      <c r="F101" s="74">
        <f t="shared" si="25"/>
        <v>146709.64000000001</v>
      </c>
      <c r="G101" s="26">
        <f t="shared" si="26"/>
        <v>4281170.8100000005</v>
      </c>
      <c r="H101" s="14">
        <f>'[15]Aug 08'!$E$20</f>
        <v>4281170.8100000005</v>
      </c>
      <c r="I101" s="13">
        <f t="shared" si="27"/>
        <v>146709.64000000001</v>
      </c>
      <c r="J101" s="13">
        <f>'[15]Aug 08'!$D$20</f>
        <v>146709.64000000001</v>
      </c>
      <c r="K101" s="61">
        <f t="shared" si="28"/>
        <v>0</v>
      </c>
    </row>
    <row r="102" spans="1:12" s="10" customFormat="1" ht="12.75" customHeight="1" x14ac:dyDescent="0.25">
      <c r="A102" s="8" t="s">
        <v>10</v>
      </c>
      <c r="B102" s="13">
        <f>'[15]Aug 08'!$D$22</f>
        <v>50947.06</v>
      </c>
      <c r="C102" s="13">
        <f>'[15]Aug 08'!$D$23</f>
        <v>107678.62</v>
      </c>
      <c r="D102" s="23">
        <f>'[15]Aug 08'!$D$24</f>
        <v>18995.66</v>
      </c>
      <c r="E102" s="23">
        <f>'[15]Aug 08'!$D$25</f>
        <v>4853.8500000000004</v>
      </c>
      <c r="F102" s="74">
        <f t="shared" si="25"/>
        <v>182475.19</v>
      </c>
      <c r="G102" s="26">
        <f t="shared" si="26"/>
        <v>1115392.04</v>
      </c>
      <c r="H102" s="14">
        <f>'[15]Aug 08'!$E$26</f>
        <v>1115392.04</v>
      </c>
      <c r="I102" s="13">
        <f t="shared" si="27"/>
        <v>182475.19</v>
      </c>
      <c r="J102" s="13">
        <f>'[15]Aug 08'!$D$26</f>
        <v>182475.19</v>
      </c>
      <c r="K102" s="61">
        <f t="shared" si="28"/>
        <v>0</v>
      </c>
    </row>
    <row r="103" spans="1:12" s="10" customFormat="1" ht="12.75" customHeight="1" x14ac:dyDescent="0.25">
      <c r="A103" s="8" t="s">
        <v>11</v>
      </c>
      <c r="B103" s="13">
        <f>'[15]Aug 08'!$D$28</f>
        <v>0</v>
      </c>
      <c r="C103" s="13">
        <f>'[15]Aug 08'!$D$29</f>
        <v>0</v>
      </c>
      <c r="D103" s="23">
        <f>'[15]Aug 08'!$D$30</f>
        <v>0</v>
      </c>
      <c r="E103" s="23">
        <f>'[15]Aug 08'!$D$31</f>
        <v>0</v>
      </c>
      <c r="F103" s="74">
        <f t="shared" si="25"/>
        <v>0</v>
      </c>
      <c r="G103" s="26">
        <f t="shared" si="26"/>
        <v>1633.53</v>
      </c>
      <c r="H103" s="14">
        <f>'[15]Aug 08'!$E$32</f>
        <v>1633.53</v>
      </c>
      <c r="I103" s="13">
        <f t="shared" si="27"/>
        <v>0</v>
      </c>
      <c r="J103" s="13">
        <f>'[15]Aug 08'!$D$32</f>
        <v>0</v>
      </c>
      <c r="K103" s="61">
        <f t="shared" si="28"/>
        <v>0</v>
      </c>
    </row>
    <row r="104" spans="1:12" s="10" customFormat="1" ht="12.75" customHeight="1" x14ac:dyDescent="0.25">
      <c r="A104" s="8" t="s">
        <v>12</v>
      </c>
      <c r="B104" s="13">
        <f>'[15]Aug 08'!$D$34</f>
        <v>2092313.99</v>
      </c>
      <c r="C104" s="13">
        <f>'[15]Aug 08'!$D$35</f>
        <v>393683.04</v>
      </c>
      <c r="D104" s="23">
        <f>'[15]Aug 08'!$D$36</f>
        <v>84776.73</v>
      </c>
      <c r="E104" s="23">
        <f>'[15]Aug 08'!$D$37</f>
        <v>21689.78</v>
      </c>
      <c r="F104" s="74">
        <f t="shared" si="25"/>
        <v>2592463.5399999996</v>
      </c>
      <c r="G104" s="26">
        <f t="shared" si="26"/>
        <v>9548731.1199999973</v>
      </c>
      <c r="H104" s="14">
        <f>'[15]Aug 08'!$E$38</f>
        <v>9548731.120000001</v>
      </c>
      <c r="I104" s="13">
        <f t="shared" si="27"/>
        <v>2592463.5399999996</v>
      </c>
      <c r="J104" s="13">
        <f>'[15]Aug 08'!$D$38</f>
        <v>2592463.5399999996</v>
      </c>
      <c r="K104" s="61">
        <f t="shared" si="28"/>
        <v>0</v>
      </c>
    </row>
    <row r="105" spans="1:12" s="10" customFormat="1" ht="12.75" customHeight="1" x14ac:dyDescent="0.25">
      <c r="A105" s="8" t="s">
        <v>13</v>
      </c>
      <c r="B105" s="24">
        <f>'[15]Aug 08'!$D$40</f>
        <v>-154569759.93000001</v>
      </c>
      <c r="C105" s="24">
        <f>'[15]Aug 08'!$D$41</f>
        <v>-364359205.62</v>
      </c>
      <c r="D105" s="24">
        <f>'[15]Aug 08'!$D$42</f>
        <v>-69196601.680000007</v>
      </c>
      <c r="E105" s="24">
        <f>'[15]Aug 08'!$D$43</f>
        <v>-4563213.37</v>
      </c>
      <c r="F105" s="74">
        <f t="shared" si="25"/>
        <v>-592688780.60000002</v>
      </c>
      <c r="G105" s="26">
        <f t="shared" si="26"/>
        <v>-6360692719.3299999</v>
      </c>
      <c r="H105" s="14">
        <f>'[15]Aug 08'!$E$44</f>
        <v>-6360692719.3299999</v>
      </c>
      <c r="I105" s="13">
        <f t="shared" si="27"/>
        <v>-592688780.60000002</v>
      </c>
      <c r="J105" s="13">
        <f>'[15]Aug 08'!$D$44</f>
        <v>-592688780.60000002</v>
      </c>
      <c r="K105" s="61">
        <f t="shared" si="28"/>
        <v>0</v>
      </c>
    </row>
    <row r="106" spans="1:12" s="10" customFormat="1" ht="12.75" customHeight="1" x14ac:dyDescent="0.25">
      <c r="A106" s="8" t="s">
        <v>14</v>
      </c>
      <c r="B106" s="23">
        <f>'[15]Aug 08'!$D$56</f>
        <v>-4006854.19</v>
      </c>
      <c r="C106" s="13">
        <f>'[15]Aug 08'!$D$57</f>
        <v>-10684349.17</v>
      </c>
      <c r="D106" s="23">
        <f>'[15]Aug 08'!$D$58</f>
        <v>100592.99</v>
      </c>
      <c r="E106" s="23">
        <f>'[15]Aug 08'!$D$59</f>
        <v>-469127.67999999999</v>
      </c>
      <c r="F106" s="74">
        <f t="shared" si="25"/>
        <v>-15059738.049999999</v>
      </c>
      <c r="G106" s="26">
        <f t="shared" si="26"/>
        <v>-153654816.53</v>
      </c>
      <c r="H106" s="14">
        <f>'[15]Aug 08'!$E$60</f>
        <v>-153654816.52999997</v>
      </c>
      <c r="I106" s="13">
        <f t="shared" si="27"/>
        <v>-15059738.049999999</v>
      </c>
      <c r="J106" s="13">
        <f>'[15]Aug 08'!$D$60</f>
        <v>-15059738.049999999</v>
      </c>
      <c r="K106" s="61">
        <f t="shared" si="28"/>
        <v>0</v>
      </c>
    </row>
    <row r="107" spans="1:12" s="10" customFormat="1" ht="12.75" customHeight="1" x14ac:dyDescent="0.25">
      <c r="A107" s="8" t="s">
        <v>15</v>
      </c>
      <c r="B107" s="23">
        <f>'[15]Aug 08'!$D$62</f>
        <v>7680304.0199999996</v>
      </c>
      <c r="C107" s="13">
        <f>'[15]Aug 08'!$D$63</f>
        <v>700828.68</v>
      </c>
      <c r="D107" s="23">
        <f>'[15]Aug 08'!$D$64</f>
        <v>274437.03999999998</v>
      </c>
      <c r="E107" s="23">
        <f>'[15]Aug 08'!$D$65</f>
        <v>377316.11</v>
      </c>
      <c r="F107" s="74">
        <f t="shared" si="25"/>
        <v>9032885.8499999978</v>
      </c>
      <c r="G107" s="26">
        <f t="shared" si="26"/>
        <v>148970218.21999997</v>
      </c>
      <c r="H107" s="14">
        <f>'[15]Aug 08'!$E$66</f>
        <v>148970218.22</v>
      </c>
      <c r="I107" s="13">
        <f t="shared" si="27"/>
        <v>9032885.8499999978</v>
      </c>
      <c r="J107" s="13">
        <f>'[15]Aug 08'!$D$66</f>
        <v>9032885.8499999978</v>
      </c>
      <c r="K107" s="61">
        <f t="shared" si="28"/>
        <v>0</v>
      </c>
    </row>
    <row r="108" spans="1:12" s="10" customFormat="1" ht="12.75" customHeight="1" x14ac:dyDescent="0.25">
      <c r="A108" s="8" t="s">
        <v>79</v>
      </c>
      <c r="B108" s="23">
        <f>'[15]Aug 08'!$D$50</f>
        <v>0</v>
      </c>
      <c r="C108" s="13">
        <f>'[15]Aug 08'!$D$51</f>
        <v>0</v>
      </c>
      <c r="D108" s="23">
        <f>'[15]Aug 08'!$D$52</f>
        <v>0</v>
      </c>
      <c r="E108" s="23">
        <f>'[15]Aug 08'!$D$53</f>
        <v>0</v>
      </c>
      <c r="F108" s="33">
        <f t="shared" si="25"/>
        <v>0</v>
      </c>
      <c r="G108" s="26">
        <f t="shared" si="26"/>
        <v>-14320000</v>
      </c>
      <c r="H108" s="14">
        <f>'[15]Aug 08'!$E$54</f>
        <v>-14320000</v>
      </c>
      <c r="I108" s="13">
        <f t="shared" si="27"/>
        <v>0</v>
      </c>
      <c r="J108" s="13">
        <f>'[15]Aug 08'!$D$54</f>
        <v>0</v>
      </c>
      <c r="K108" s="34"/>
    </row>
    <row r="109" spans="1:12" s="20" customFormat="1" ht="12.75" customHeight="1" thickBot="1" x14ac:dyDescent="0.3">
      <c r="A109" s="16" t="s">
        <v>16</v>
      </c>
      <c r="B109" s="17">
        <f>SUM(B100:B108)+B96</f>
        <v>4879094293.9643717</v>
      </c>
      <c r="C109" s="17">
        <f>SUM(C100:C108)+C96</f>
        <v>2985181476.7315755</v>
      </c>
      <c r="D109" s="17">
        <f>SUM(D100:D108)+D96</f>
        <v>2564494447.8061228</v>
      </c>
      <c r="E109" s="17">
        <f>SUM(E100:E108)+E96</f>
        <v>240845559.44502315</v>
      </c>
      <c r="F109" s="17">
        <f>SUM(F100:F108)+F96</f>
        <v>10669615777.94709</v>
      </c>
      <c r="G109" s="82">
        <f>G100+G101+G102+G103+G104+G105+G106+G107+G108</f>
        <v>625551993.10000086</v>
      </c>
      <c r="H109" s="82">
        <f>H100+H101+H102+H103+H104+H105+H106+H107+H108</f>
        <v>625551993.0999999</v>
      </c>
      <c r="I109" s="81">
        <f>I100+I101+I102+I103+I104+I105+I106+I107+I108</f>
        <v>109539654.66000001</v>
      </c>
      <c r="J109" s="81">
        <f>J100+J101+J102+J103+J104+J105+J106+J107+J108</f>
        <v>109539654.66000001</v>
      </c>
      <c r="K109" s="17">
        <f>K100+K101+K102+K103+K104+K105+K106+K107+K108</f>
        <v>0</v>
      </c>
    </row>
    <row r="110" spans="1:12" s="20" customFormat="1" ht="12.75" customHeight="1" thickTop="1" x14ac:dyDescent="0.25">
      <c r="A110" s="16"/>
      <c r="B110" s="60"/>
      <c r="C110" s="60"/>
      <c r="D110" s="60"/>
      <c r="E110" s="60"/>
      <c r="F110" s="33"/>
      <c r="G110" s="33">
        <f>+G102-H102</f>
        <v>0</v>
      </c>
      <c r="H110" s="33"/>
      <c r="I110" s="19"/>
    </row>
    <row r="111" spans="1:12" s="10" customFormat="1" ht="12.75" customHeight="1" x14ac:dyDescent="0.25">
      <c r="A111" s="8"/>
      <c r="B111" s="13"/>
      <c r="C111" s="13"/>
      <c r="F111" s="13"/>
      <c r="G111" s="19" t="s">
        <v>32</v>
      </c>
      <c r="H111" s="19" t="s">
        <v>32</v>
      </c>
      <c r="I111" s="19" t="s">
        <v>31</v>
      </c>
      <c r="J111" s="19" t="s">
        <v>31</v>
      </c>
      <c r="K111" s="19" t="s">
        <v>85</v>
      </c>
    </row>
    <row r="112" spans="1:12" s="10" customFormat="1" ht="12.75" customHeight="1" x14ac:dyDescent="0.25">
      <c r="A112" s="15" t="s">
        <v>24</v>
      </c>
      <c r="B112" s="21"/>
      <c r="C112" s="21"/>
      <c r="D112" s="22"/>
      <c r="E112" s="22"/>
      <c r="F112" s="21"/>
      <c r="G112" s="19" t="s">
        <v>44</v>
      </c>
      <c r="H112" s="20" t="s">
        <v>45</v>
      </c>
      <c r="I112" s="19" t="s">
        <v>44</v>
      </c>
      <c r="J112" s="20" t="s">
        <v>45</v>
      </c>
    </row>
    <row r="113" spans="1:11" s="10" customFormat="1" ht="12.75" customHeight="1" x14ac:dyDescent="0.25">
      <c r="A113" s="8" t="s">
        <v>8</v>
      </c>
      <c r="B113" s="14">
        <f>'[16]Sep 08'!$D$9</f>
        <v>192711774.99000001</v>
      </c>
      <c r="C113" s="14">
        <f>'[16]Sep 08'!$D$10</f>
        <v>417470800.95999998</v>
      </c>
      <c r="D113" s="14">
        <f>'[16]Sep 08'!$D$11</f>
        <v>73753412.939999998</v>
      </c>
      <c r="E113" s="26">
        <f>'[16]Sep 08'!$D$12</f>
        <v>23523264.68</v>
      </c>
      <c r="F113" s="33">
        <f t="shared" ref="F113:F121" si="29">SUM(B113:E113)</f>
        <v>707459253.57000005</v>
      </c>
      <c r="G113" s="26">
        <f t="shared" ref="G113:G121" si="30">SUM(G100+F113)</f>
        <v>7697761636.8100004</v>
      </c>
      <c r="H113" s="26">
        <f>'[16]Sep 08'!$E$14</f>
        <v>7697761636.8099995</v>
      </c>
      <c r="I113" s="13">
        <f t="shared" ref="I113:I121" si="31">F113</f>
        <v>707459253.57000005</v>
      </c>
      <c r="J113" s="13">
        <f>'[16]Sep 08'!$D$14</f>
        <v>707459253.57000005</v>
      </c>
      <c r="K113" s="34">
        <f t="shared" ref="K113:K121" si="32">I113-J113</f>
        <v>0</v>
      </c>
    </row>
    <row r="114" spans="1:11" s="10" customFormat="1" ht="12.75" customHeight="1" x14ac:dyDescent="0.25">
      <c r="A114" s="8" t="s">
        <v>9</v>
      </c>
      <c r="B114" s="14">
        <f>'[16]Sep 08'!$D$16</f>
        <v>119505.51</v>
      </c>
      <c r="C114" s="14">
        <f>'[16]Sep 08'!$D$17</f>
        <v>252582.55</v>
      </c>
      <c r="D114" s="14">
        <f>'[16]Sep 08'!$D$18</f>
        <v>44562.68</v>
      </c>
      <c r="E114" s="14">
        <f>'[16]Sep 08'!$D$19</f>
        <v>11364.87</v>
      </c>
      <c r="F114" s="33">
        <f t="shared" si="29"/>
        <v>428015.61</v>
      </c>
      <c r="G114" s="26">
        <f t="shared" si="30"/>
        <v>4709186.4200000009</v>
      </c>
      <c r="H114" s="26">
        <f>'[16]Sep 08'!$E$20</f>
        <v>4709186.42</v>
      </c>
      <c r="I114" s="13">
        <f t="shared" si="31"/>
        <v>428015.61</v>
      </c>
      <c r="J114" s="13">
        <f>'[16]Sep 08'!$D$20</f>
        <v>428015.61</v>
      </c>
      <c r="K114" s="34">
        <f t="shared" si="32"/>
        <v>0</v>
      </c>
    </row>
    <row r="115" spans="1:11" s="10" customFormat="1" ht="12.75" customHeight="1" x14ac:dyDescent="0.25">
      <c r="A115" s="8" t="s">
        <v>10</v>
      </c>
      <c r="B115" s="14">
        <f>'[16]Sep 08'!$D$22</f>
        <v>38092.79</v>
      </c>
      <c r="C115" s="14">
        <f>'[16]Sep 08'!$D$23</f>
        <v>80510.539999999994</v>
      </c>
      <c r="D115" s="14">
        <f>'[16]Sep 08'!$D$24</f>
        <v>14202.92</v>
      </c>
      <c r="E115" s="14">
        <f>'[16]Sep 08'!$D$25</f>
        <v>3629.18</v>
      </c>
      <c r="F115" s="33">
        <f t="shared" si="29"/>
        <v>136435.43</v>
      </c>
      <c r="G115" s="26">
        <f t="shared" si="30"/>
        <v>1251827.47</v>
      </c>
      <c r="H115" s="26">
        <f>'[16]Sep 08'!$E$26</f>
        <v>1251827.4700000002</v>
      </c>
      <c r="I115" s="13">
        <f t="shared" si="31"/>
        <v>136435.43</v>
      </c>
      <c r="J115" s="13">
        <f>'[16]Sep 08'!$D$26</f>
        <v>136435.43</v>
      </c>
      <c r="K115" s="34">
        <f t="shared" si="32"/>
        <v>0</v>
      </c>
    </row>
    <row r="116" spans="1:11" s="10" customFormat="1" ht="12.75" customHeight="1" x14ac:dyDescent="0.25">
      <c r="A116" s="8" t="s">
        <v>11</v>
      </c>
      <c r="B116" s="13">
        <f>'[16]Sep 08'!$D$28</f>
        <v>0</v>
      </c>
      <c r="C116" s="13">
        <f>'[16]Sep 08'!$D$29</f>
        <v>0</v>
      </c>
      <c r="D116" s="13">
        <f>'[16]Sep 08'!$D$30</f>
        <v>0</v>
      </c>
      <c r="E116" s="13">
        <f>'[16]Sep 08'!$D$31</f>
        <v>0</v>
      </c>
      <c r="F116" s="33">
        <f t="shared" si="29"/>
        <v>0</v>
      </c>
      <c r="G116" s="26">
        <f t="shared" si="30"/>
        <v>1633.53</v>
      </c>
      <c r="H116" s="26">
        <f>'[16]Sep 08'!$E$32</f>
        <v>1633.53</v>
      </c>
      <c r="I116" s="13">
        <f t="shared" si="31"/>
        <v>0</v>
      </c>
      <c r="J116" s="13">
        <f>'[16]Sep 08'!$D$32</f>
        <v>0</v>
      </c>
      <c r="K116" s="34">
        <f t="shared" si="32"/>
        <v>0</v>
      </c>
    </row>
    <row r="117" spans="1:11" s="10" customFormat="1" ht="12.75" customHeight="1" x14ac:dyDescent="0.25">
      <c r="A117" s="8" t="s">
        <v>12</v>
      </c>
      <c r="B117" s="13">
        <f>'[16]Sep 08'!$D$34</f>
        <v>-403006.82</v>
      </c>
      <c r="C117" s="13">
        <f>'[16]Sep 08'!$D$35</f>
        <v>3717743.79</v>
      </c>
      <c r="D117" s="13">
        <f>'[16]Sep 08'!$D$36</f>
        <v>652867.36</v>
      </c>
      <c r="E117" s="13">
        <f>'[16]Sep 08'!$D$37</f>
        <v>192104.79</v>
      </c>
      <c r="F117" s="33">
        <f t="shared" si="29"/>
        <v>4159709.12</v>
      </c>
      <c r="G117" s="26">
        <f t="shared" si="30"/>
        <v>13708440.239999998</v>
      </c>
      <c r="H117" s="26">
        <f>'[16]Sep 08'!$E$38</f>
        <v>13708440.24</v>
      </c>
      <c r="I117" s="13">
        <f t="shared" si="31"/>
        <v>4159709.12</v>
      </c>
      <c r="J117" s="13">
        <f>'[16]Sep 08'!$D$38</f>
        <v>4159709.12</v>
      </c>
      <c r="K117" s="34">
        <f t="shared" si="32"/>
        <v>0</v>
      </c>
    </row>
    <row r="118" spans="1:11" s="122" customFormat="1" ht="12.75" customHeight="1" x14ac:dyDescent="0.25">
      <c r="A118" s="122" t="s">
        <v>13</v>
      </c>
      <c r="B118" s="123">
        <f>'[16]Sep 08'!$D$40</f>
        <v>-158382022.22</v>
      </c>
      <c r="C118" s="123">
        <f>'[16]Sep 08'!$D$41</f>
        <v>-394045307.73000002</v>
      </c>
      <c r="D118" s="123">
        <f>'[16]Sep 08'!$D$42</f>
        <v>-67200584.319999993</v>
      </c>
      <c r="E118" s="123">
        <f>'[16]Sep 08'!$D$43</f>
        <v>-6768631.4299999997</v>
      </c>
      <c r="F118" s="121">
        <f t="shared" si="29"/>
        <v>-626396545.69999993</v>
      </c>
      <c r="G118" s="124">
        <f t="shared" si="30"/>
        <v>-6987089265.0299997</v>
      </c>
      <c r="H118" s="124">
        <f>'[16]Sep 08'!$E$44</f>
        <v>-6987089265.0300007</v>
      </c>
      <c r="I118" s="123">
        <f t="shared" si="31"/>
        <v>-626396545.69999993</v>
      </c>
      <c r="J118" s="123">
        <f>'[16]Sep 08'!$D$44</f>
        <v>-626396545.69999993</v>
      </c>
      <c r="K118" s="125">
        <f t="shared" si="32"/>
        <v>0</v>
      </c>
    </row>
    <row r="119" spans="1:11" s="10" customFormat="1" ht="12.75" customHeight="1" x14ac:dyDescent="0.25">
      <c r="A119" s="8" t="s">
        <v>14</v>
      </c>
      <c r="B119" s="23">
        <f>'[16]Sep 08'!$D$56</f>
        <v>-5913698.2800000003</v>
      </c>
      <c r="C119" s="23">
        <f>'[16]Sep 08'!$D$57</f>
        <v>-2081880.07</v>
      </c>
      <c r="D119" s="23">
        <f>'[16]Sep 08'!$D$58</f>
        <v>-386390.63</v>
      </c>
      <c r="E119" s="23">
        <f>'[16]Sep 08'!$D$59</f>
        <v>-713938.77</v>
      </c>
      <c r="F119" s="33">
        <f t="shared" si="29"/>
        <v>-9095907.75</v>
      </c>
      <c r="G119" s="26">
        <f t="shared" si="30"/>
        <v>-162750724.28</v>
      </c>
      <c r="H119" s="26">
        <f>'[16]Sep 08'!$E$60</f>
        <v>-162750724.28</v>
      </c>
      <c r="I119" s="13">
        <f t="shared" si="31"/>
        <v>-9095907.75</v>
      </c>
      <c r="J119" s="13">
        <f>'[16]Sep 08'!$D$60</f>
        <v>-9095907.75</v>
      </c>
      <c r="K119" s="34">
        <f t="shared" si="32"/>
        <v>0</v>
      </c>
    </row>
    <row r="120" spans="1:11" s="10" customFormat="1" ht="12.75" customHeight="1" x14ac:dyDescent="0.25">
      <c r="A120" s="8" t="s">
        <v>15</v>
      </c>
      <c r="B120" s="23">
        <f>'[16]Sep 08'!$D$62</f>
        <v>7638841.7699999996</v>
      </c>
      <c r="C120" s="23">
        <f>'[16]Sep 08'!$D$63</f>
        <v>728409.73</v>
      </c>
      <c r="D120" s="23">
        <f>'[16]Sep 08'!$D$64</f>
        <v>277157.96000000002</v>
      </c>
      <c r="E120" s="23">
        <f>'[16]Sep 08'!$D$65</f>
        <v>390100.71</v>
      </c>
      <c r="F120" s="33">
        <f t="shared" si="29"/>
        <v>9034510.1700000018</v>
      </c>
      <c r="G120" s="26">
        <f t="shared" si="30"/>
        <v>158004728.38999999</v>
      </c>
      <c r="H120" s="26">
        <f>'[16]Sep 08'!$E$66</f>
        <v>158004728.38999999</v>
      </c>
      <c r="I120" s="13">
        <f t="shared" si="31"/>
        <v>9034510.1700000018</v>
      </c>
      <c r="J120" s="13">
        <f>'[16]Sep 08'!$D$66</f>
        <v>9034510.1700000018</v>
      </c>
      <c r="K120" s="34">
        <f t="shared" si="32"/>
        <v>0</v>
      </c>
    </row>
    <row r="121" spans="1:11" s="10" customFormat="1" ht="12.75" customHeight="1" x14ac:dyDescent="0.25">
      <c r="A121" s="8" t="s">
        <v>79</v>
      </c>
      <c r="B121" s="23">
        <f>'[16]Sep 08'!$D$50</f>
        <v>-2065907</v>
      </c>
      <c r="C121" s="23">
        <f>'[16]Sep 08'!$D$51</f>
        <v>-4204193</v>
      </c>
      <c r="D121" s="23">
        <f>'[16]Sep 08'!$D$52</f>
        <v>-764578</v>
      </c>
      <c r="E121" s="23">
        <f>'[16]Sep 08'!$D$53</f>
        <v>-125322</v>
      </c>
      <c r="F121" s="33">
        <f t="shared" si="29"/>
        <v>-7160000</v>
      </c>
      <c r="G121" s="26">
        <f t="shared" si="30"/>
        <v>-21480000</v>
      </c>
      <c r="H121" s="26">
        <f>'[16]Sep 08'!$E$54</f>
        <v>-21480000</v>
      </c>
      <c r="I121" s="13">
        <f t="shared" si="31"/>
        <v>-7160000</v>
      </c>
      <c r="J121" s="13">
        <f>'[16]Sep 08'!$D$54</f>
        <v>-7160000</v>
      </c>
      <c r="K121" s="34">
        <f t="shared" si="32"/>
        <v>0</v>
      </c>
    </row>
    <row r="122" spans="1:11" s="20" customFormat="1" ht="12.75" customHeight="1" thickBot="1" x14ac:dyDescent="0.3">
      <c r="A122" s="16" t="s">
        <v>16</v>
      </c>
      <c r="B122" s="17">
        <f>SUM(B109:B121)</f>
        <v>4912837874.7043724</v>
      </c>
      <c r="C122" s="17">
        <f>SUM(C109:C121)</f>
        <v>3007100143.5015755</v>
      </c>
      <c r="D122" s="17">
        <f>SUM(D109:D121)</f>
        <v>2570885098.7161226</v>
      </c>
      <c r="E122" s="17">
        <f>SUM(E109:E121)</f>
        <v>257358131.47502315</v>
      </c>
      <c r="F122" s="17">
        <f>SUM(F109:F121)</f>
        <v>10748181248.397091</v>
      </c>
      <c r="G122" s="82">
        <f>G113+G114+G115+G116+G117+G118+G119+G120+G121</f>
        <v>704117463.55000055</v>
      </c>
      <c r="H122" s="82">
        <f>H113+H114+H115+H116+H117+H118+H119+H120+H121</f>
        <v>704117463.54999864</v>
      </c>
      <c r="I122" s="81">
        <f>I113+I114+I115+I116+I117+I118+I119+I120+I121</f>
        <v>78565470.450000092</v>
      </c>
      <c r="J122" s="81">
        <f>J113+J114+J115+J116+J117+J118+J119+J120+J121</f>
        <v>78565470.450000092</v>
      </c>
      <c r="K122" s="17">
        <f>K113+K114+K115+K116+K117+K118+K119+K120+K121</f>
        <v>0</v>
      </c>
    </row>
    <row r="123" spans="1:11" s="10" customFormat="1" ht="12.75" customHeight="1" thickTop="1" x14ac:dyDescent="0.25">
      <c r="A123" s="8"/>
      <c r="B123" s="13"/>
      <c r="C123" s="13"/>
      <c r="D123" s="13"/>
      <c r="E123" s="13"/>
      <c r="F123" s="13"/>
      <c r="G123" s="13"/>
      <c r="H123" s="13"/>
      <c r="I123" s="13"/>
    </row>
    <row r="124" spans="1:11" s="10" customFormat="1" ht="12.75" customHeight="1" x14ac:dyDescent="0.25">
      <c r="A124" s="8"/>
      <c r="B124" s="13"/>
      <c r="C124" s="13"/>
      <c r="D124" s="13"/>
      <c r="E124" s="13"/>
      <c r="F124" s="13"/>
      <c r="G124" s="13"/>
      <c r="H124" s="13"/>
      <c r="I124" s="13"/>
    </row>
    <row r="125" spans="1:11" s="10" customFormat="1" ht="12.75" customHeight="1" x14ac:dyDescent="0.25">
      <c r="A125" s="8"/>
      <c r="B125" s="13"/>
      <c r="C125" s="13"/>
      <c r="D125" s="13"/>
      <c r="E125" s="13"/>
      <c r="F125" s="13"/>
      <c r="G125" s="13"/>
      <c r="H125" s="13"/>
      <c r="I125" s="13"/>
    </row>
    <row r="126" spans="1:11" s="10" customFormat="1" ht="12.75" customHeight="1" x14ac:dyDescent="0.25">
      <c r="A126" s="8"/>
      <c r="B126" s="13"/>
      <c r="C126" s="13"/>
      <c r="D126" s="13"/>
      <c r="E126" s="13"/>
      <c r="F126" s="13"/>
      <c r="G126" s="19" t="s">
        <v>32</v>
      </c>
      <c r="H126" s="19" t="s">
        <v>32</v>
      </c>
      <c r="I126" s="19" t="s">
        <v>31</v>
      </c>
      <c r="J126" s="19" t="s">
        <v>31</v>
      </c>
      <c r="K126" s="19" t="s">
        <v>85</v>
      </c>
    </row>
    <row r="127" spans="1:11" s="10" customFormat="1" ht="12.75" customHeight="1" x14ac:dyDescent="0.25">
      <c r="A127" s="15" t="s">
        <v>25</v>
      </c>
      <c r="B127" s="21"/>
      <c r="C127" s="21"/>
      <c r="D127" s="22"/>
      <c r="E127" s="22"/>
      <c r="F127" s="21"/>
      <c r="G127" s="19" t="s">
        <v>44</v>
      </c>
      <c r="H127" s="20" t="s">
        <v>45</v>
      </c>
      <c r="I127" s="19" t="s">
        <v>44</v>
      </c>
      <c r="J127" s="20" t="s">
        <v>45</v>
      </c>
    </row>
    <row r="128" spans="1:11" s="10" customFormat="1" ht="12.75" customHeight="1" x14ac:dyDescent="0.25">
      <c r="A128" s="8" t="s">
        <v>8</v>
      </c>
      <c r="B128" s="14">
        <f>[17]Report!$D$9</f>
        <v>187625983.21000001</v>
      </c>
      <c r="C128" s="14">
        <f>[17]Report!$D$10</f>
        <v>370314906.25</v>
      </c>
      <c r="D128" s="14">
        <f>[17]Report!$D$11</f>
        <v>66257802.170000002</v>
      </c>
      <c r="E128" s="14">
        <f>[17]Report!$D$12</f>
        <v>12524276.369999999</v>
      </c>
      <c r="F128" s="33">
        <f t="shared" ref="F128:F136" si="33">SUM(B128:E128)</f>
        <v>636722968</v>
      </c>
      <c r="G128" s="139">
        <f t="shared" ref="G128:G136" si="34">F128</f>
        <v>636722968</v>
      </c>
      <c r="H128" s="139">
        <f>[17]Report!$E$14</f>
        <v>636722968</v>
      </c>
      <c r="I128" s="140">
        <f t="shared" ref="I128:I136" si="35">F128</f>
        <v>636722968</v>
      </c>
      <c r="J128" s="140">
        <f>[17]Report!$D$14</f>
        <v>636722968</v>
      </c>
      <c r="K128" s="34">
        <f t="shared" ref="K128:K136" si="36">I128-J128</f>
        <v>0</v>
      </c>
    </row>
    <row r="129" spans="1:11" s="10" customFormat="1" ht="12.75" customHeight="1" x14ac:dyDescent="0.25">
      <c r="A129" s="8" t="s">
        <v>9</v>
      </c>
      <c r="B129" s="14">
        <f>[17]Report!$D$16</f>
        <v>112081.02</v>
      </c>
      <c r="C129" s="14">
        <f>[17]Report!$D$17</f>
        <v>227705.11</v>
      </c>
      <c r="D129" s="14">
        <f>[17]Report!$D$18</f>
        <v>40676.61</v>
      </c>
      <c r="E129" s="14">
        <f>[17]Report!$D$19</f>
        <v>10626.01</v>
      </c>
      <c r="F129" s="33">
        <f t="shared" si="33"/>
        <v>391088.75</v>
      </c>
      <c r="G129" s="139">
        <f t="shared" si="34"/>
        <v>391088.75</v>
      </c>
      <c r="H129" s="139">
        <f>[17]Report!$E$20</f>
        <v>391088.75</v>
      </c>
      <c r="I129" s="140">
        <f t="shared" si="35"/>
        <v>391088.75</v>
      </c>
      <c r="J129" s="140">
        <f>[17]Report!$D$20</f>
        <v>391088.75</v>
      </c>
      <c r="K129" s="34">
        <f t="shared" si="36"/>
        <v>0</v>
      </c>
    </row>
    <row r="130" spans="1:11" s="10" customFormat="1" ht="12.75" customHeight="1" x14ac:dyDescent="0.25">
      <c r="A130" s="8" t="s">
        <v>10</v>
      </c>
      <c r="B130" s="14">
        <f>[17]Report!$D$22</f>
        <v>84078.13</v>
      </c>
      <c r="C130" s="14">
        <f>[17]Report!$D$23</f>
        <v>170530.17</v>
      </c>
      <c r="D130" s="14">
        <f>[17]Report!$D$24</f>
        <v>30478</v>
      </c>
      <c r="E130" s="14">
        <f>[17]Report!$D$25</f>
        <v>7971.17</v>
      </c>
      <c r="F130" s="33">
        <f t="shared" si="33"/>
        <v>293057.47000000003</v>
      </c>
      <c r="G130" s="139">
        <f t="shared" si="34"/>
        <v>293057.47000000003</v>
      </c>
      <c r="H130" s="139">
        <f>[17]Report!$E$26</f>
        <v>293057.47000000003</v>
      </c>
      <c r="I130" s="140">
        <f t="shared" si="35"/>
        <v>293057.47000000003</v>
      </c>
      <c r="J130" s="140">
        <f>[17]Report!$D$26</f>
        <v>293057.47000000003</v>
      </c>
      <c r="K130" s="34">
        <f t="shared" si="36"/>
        <v>0</v>
      </c>
    </row>
    <row r="131" spans="1:11" s="10" customFormat="1" ht="12.75" customHeight="1" x14ac:dyDescent="0.25">
      <c r="A131" s="8" t="s">
        <v>11</v>
      </c>
      <c r="B131" s="13">
        <f>[17]Report!$D$28</f>
        <v>0</v>
      </c>
      <c r="C131" s="13">
        <f>[17]Report!$D$29</f>
        <v>0</v>
      </c>
      <c r="D131" s="23">
        <f>[17]Report!$D$30</f>
        <v>0</v>
      </c>
      <c r="E131" s="23">
        <f>[17]Report!$D$31</f>
        <v>0</v>
      </c>
      <c r="F131" s="33">
        <f t="shared" si="33"/>
        <v>0</v>
      </c>
      <c r="G131" s="139">
        <f t="shared" si="34"/>
        <v>0</v>
      </c>
      <c r="H131" s="139">
        <f>[17]Report!$E$32</f>
        <v>0</v>
      </c>
      <c r="I131" s="140">
        <f t="shared" si="35"/>
        <v>0</v>
      </c>
      <c r="J131" s="140">
        <f>[17]Report!$D$32</f>
        <v>0</v>
      </c>
      <c r="K131" s="34">
        <f t="shared" si="36"/>
        <v>0</v>
      </c>
    </row>
    <row r="132" spans="1:11" s="10" customFormat="1" ht="12.75" customHeight="1" x14ac:dyDescent="0.25">
      <c r="A132" s="8" t="s">
        <v>75</v>
      </c>
      <c r="B132" s="13">
        <f>[17]Report!$D$34</f>
        <v>-3605648.95</v>
      </c>
      <c r="C132" s="13">
        <f>[17]Report!$D$35</f>
        <v>88085.43</v>
      </c>
      <c r="D132" s="13">
        <f>[17]Report!$D$36</f>
        <v>15429.4</v>
      </c>
      <c r="E132" s="13">
        <f>[17]Report!$D$37</f>
        <v>3928.02</v>
      </c>
      <c r="F132" s="33">
        <f t="shared" si="33"/>
        <v>-3498206.1</v>
      </c>
      <c r="G132" s="139">
        <f t="shared" si="34"/>
        <v>-3498206.1</v>
      </c>
      <c r="H132" s="139">
        <f>[17]Report!$E$38</f>
        <v>-3498206.1</v>
      </c>
      <c r="I132" s="140">
        <f t="shared" si="35"/>
        <v>-3498206.1</v>
      </c>
      <c r="J132" s="140">
        <f>[17]Report!$D$38</f>
        <v>-3498206.1</v>
      </c>
      <c r="K132" s="34">
        <f t="shared" si="36"/>
        <v>0</v>
      </c>
    </row>
    <row r="133" spans="1:11" s="10" customFormat="1" ht="12.75" customHeight="1" x14ac:dyDescent="0.25">
      <c r="A133" s="8" t="s">
        <v>13</v>
      </c>
      <c r="B133" s="13">
        <f>[17]Report!$D$40</f>
        <v>-279513575.27999997</v>
      </c>
      <c r="C133" s="13">
        <f>[17]Report!$D$41</f>
        <v>-375396414.63999999</v>
      </c>
      <c r="D133" s="13">
        <f>[17]Report!$D$42</f>
        <v>-68776553</v>
      </c>
      <c r="E133" s="13">
        <f>[17]Report!$D$43</f>
        <v>-2522479.5299999998</v>
      </c>
      <c r="F133" s="33">
        <f t="shared" si="33"/>
        <v>-726209022.44999993</v>
      </c>
      <c r="G133" s="139">
        <f t="shared" si="34"/>
        <v>-726209022.44999993</v>
      </c>
      <c r="H133" s="139">
        <f>[17]Report!$E$44</f>
        <v>-726209022.44999993</v>
      </c>
      <c r="I133" s="140">
        <f t="shared" si="35"/>
        <v>-726209022.44999993</v>
      </c>
      <c r="J133" s="140">
        <f>[17]Report!$D$44</f>
        <v>-726209022.44999993</v>
      </c>
      <c r="K133" s="34">
        <f t="shared" si="36"/>
        <v>0</v>
      </c>
    </row>
    <row r="134" spans="1:11" s="10" customFormat="1" ht="12.75" customHeight="1" x14ac:dyDescent="0.25">
      <c r="A134" s="8" t="s">
        <v>14</v>
      </c>
      <c r="B134" s="23">
        <f>[17]Report!$D$56</f>
        <v>-5284169.95</v>
      </c>
      <c r="C134" s="23">
        <f>[17]Report!$D$57</f>
        <v>5330730</v>
      </c>
      <c r="D134" s="23">
        <f>[17]Report!$D$58</f>
        <v>-376642.01</v>
      </c>
      <c r="E134" s="23">
        <f>[17]Report!$D$59</f>
        <v>-650590.01</v>
      </c>
      <c r="F134" s="33">
        <f t="shared" si="33"/>
        <v>-980671.9700000002</v>
      </c>
      <c r="G134" s="139">
        <f t="shared" si="34"/>
        <v>-980671.9700000002</v>
      </c>
      <c r="H134" s="139">
        <f>[17]Report!$E$60</f>
        <v>-980671.9700000002</v>
      </c>
      <c r="I134" s="140">
        <f t="shared" si="35"/>
        <v>-980671.9700000002</v>
      </c>
      <c r="J134" s="140">
        <f>[17]Report!$D$60</f>
        <v>-980671.9700000002</v>
      </c>
      <c r="K134" s="34">
        <f t="shared" si="36"/>
        <v>0</v>
      </c>
    </row>
    <row r="135" spans="1:11" s="10" customFormat="1" ht="12.75" customHeight="1" x14ac:dyDescent="0.25">
      <c r="A135" s="8" t="s">
        <v>15</v>
      </c>
      <c r="B135" s="23">
        <f>[17]Report!$D$62</f>
        <v>7667148.8499999996</v>
      </c>
      <c r="C135" s="23">
        <f>[17]Report!$D$63</f>
        <v>767174.57</v>
      </c>
      <c r="D135" s="23">
        <f>[17]Report!$D$64</f>
        <v>282330.51</v>
      </c>
      <c r="E135" s="23">
        <f>[17]Report!$D$65</f>
        <v>408466.66</v>
      </c>
      <c r="F135" s="33">
        <f t="shared" si="33"/>
        <v>9125120.5899999999</v>
      </c>
      <c r="G135" s="139">
        <f t="shared" si="34"/>
        <v>9125120.5899999999</v>
      </c>
      <c r="H135" s="139">
        <f>[17]Report!$E$66</f>
        <v>9125120.5899999999</v>
      </c>
      <c r="I135" s="140">
        <f t="shared" si="35"/>
        <v>9125120.5899999999</v>
      </c>
      <c r="J135" s="140">
        <f>[17]Report!$D$66</f>
        <v>9125120.5899999999</v>
      </c>
      <c r="K135" s="34">
        <f t="shared" si="36"/>
        <v>0</v>
      </c>
    </row>
    <row r="136" spans="1:11" s="10" customFormat="1" ht="12.75" customHeight="1" x14ac:dyDescent="0.25">
      <c r="A136" s="8" t="s">
        <v>79</v>
      </c>
      <c r="B136" s="23">
        <f>[17]Report!$D$50</f>
        <v>0</v>
      </c>
      <c r="C136" s="23">
        <f>[17]Report!$D$51</f>
        <v>0</v>
      </c>
      <c r="D136" s="23">
        <f>[17]Report!$D$52</f>
        <v>0</v>
      </c>
      <c r="E136" s="23">
        <f>[17]Report!$D$53</f>
        <v>0</v>
      </c>
      <c r="F136" s="33">
        <f t="shared" si="33"/>
        <v>0</v>
      </c>
      <c r="G136" s="139">
        <f t="shared" si="34"/>
        <v>0</v>
      </c>
      <c r="H136" s="139">
        <f>[17]Report!$E$54</f>
        <v>0</v>
      </c>
      <c r="I136" s="140">
        <f t="shared" si="35"/>
        <v>0</v>
      </c>
      <c r="J136" s="140">
        <f>[17]Report!$D$54</f>
        <v>0</v>
      </c>
      <c r="K136" s="34">
        <f t="shared" si="36"/>
        <v>0</v>
      </c>
    </row>
    <row r="137" spans="1:11" s="20" customFormat="1" ht="12.75" customHeight="1" thickBot="1" x14ac:dyDescent="0.3">
      <c r="A137" s="16" t="s">
        <v>16</v>
      </c>
      <c r="B137" s="17">
        <f>SUM(B122,B128:B135)</f>
        <v>4819923771.734374</v>
      </c>
      <c r="C137" s="17">
        <f>SUM(C122,C128:C135)</f>
        <v>3008602860.3915758</v>
      </c>
      <c r="D137" s="17">
        <f>SUM(D122,D128:D135)</f>
        <v>2568358620.3961229</v>
      </c>
      <c r="E137" s="17">
        <f>SUM(E122,E128:E135)</f>
        <v>267140330.16502315</v>
      </c>
      <c r="F137" s="17">
        <f>SUM(F122,F128:F135)</f>
        <v>10664025582.68709</v>
      </c>
      <c r="G137" s="82">
        <f>G128+G129+G130+G131+G132+G133+G134+G135+G136</f>
        <v>-84155665.709999919</v>
      </c>
      <c r="H137" s="82">
        <f>H128+H129+H130+H131+H132+H133+H134+H135+H136</f>
        <v>-84155665.709999919</v>
      </c>
      <c r="I137" s="81">
        <f>I128+I129+I130+I131+I132+I133+I134+I135+I136</f>
        <v>-84155665.709999919</v>
      </c>
      <c r="J137" s="81">
        <f>J128+J129+J130+J131+J132+J133+J134+J135+J136</f>
        <v>-84155665.709999919</v>
      </c>
      <c r="K137" s="17">
        <f>K128+K129+K130+K131+K132+K133+K134+K135+K136</f>
        <v>0</v>
      </c>
    </row>
    <row r="138" spans="1:11" s="20" customFormat="1" ht="12.75" customHeight="1" thickTop="1" x14ac:dyDescent="0.25">
      <c r="A138" s="16"/>
      <c r="B138" s="60"/>
      <c r="C138" s="60"/>
      <c r="D138" s="60"/>
      <c r="E138" s="60"/>
      <c r="F138" s="60"/>
      <c r="G138" s="60"/>
      <c r="H138" s="60"/>
      <c r="I138" s="19"/>
    </row>
    <row r="139" spans="1:11" s="20" customFormat="1" ht="12.75" customHeight="1" x14ac:dyDescent="0.25">
      <c r="A139" s="16"/>
      <c r="B139" s="60"/>
      <c r="C139" s="60"/>
      <c r="D139" s="60"/>
      <c r="E139" s="60"/>
      <c r="F139" s="60"/>
      <c r="G139" s="60"/>
      <c r="H139" s="60"/>
      <c r="I139" s="19"/>
    </row>
    <row r="140" spans="1:11" s="20" customFormat="1" ht="12.75" customHeight="1" x14ac:dyDescent="0.25">
      <c r="A140" s="16"/>
      <c r="B140" s="60"/>
      <c r="C140" s="60"/>
      <c r="D140" s="60"/>
      <c r="E140" s="60"/>
      <c r="F140" s="60"/>
      <c r="G140" s="60"/>
      <c r="H140" s="60"/>
      <c r="I140" s="19"/>
    </row>
    <row r="141" spans="1:11" s="10" customFormat="1" ht="12.75" customHeight="1" x14ac:dyDescent="0.25">
      <c r="A141" s="8"/>
      <c r="B141" s="13"/>
      <c r="C141" s="13"/>
      <c r="F141" s="13"/>
      <c r="G141" s="19" t="s">
        <v>32</v>
      </c>
      <c r="H141" s="19" t="s">
        <v>32</v>
      </c>
      <c r="I141" s="19" t="s">
        <v>31</v>
      </c>
      <c r="J141" s="19" t="s">
        <v>31</v>
      </c>
      <c r="K141" s="19" t="s">
        <v>85</v>
      </c>
    </row>
    <row r="142" spans="1:11" s="10" customFormat="1" ht="12.75" customHeight="1" x14ac:dyDescent="0.25">
      <c r="A142" s="15" t="s">
        <v>26</v>
      </c>
      <c r="B142" s="21"/>
      <c r="C142" s="21"/>
      <c r="D142" s="22"/>
      <c r="E142" s="22"/>
      <c r="F142" s="21"/>
      <c r="G142" s="19" t="s">
        <v>44</v>
      </c>
      <c r="H142" s="20" t="s">
        <v>45</v>
      </c>
      <c r="I142" s="19" t="s">
        <v>44</v>
      </c>
      <c r="J142" s="20" t="s">
        <v>45</v>
      </c>
    </row>
    <row r="143" spans="1:11" s="10" customFormat="1" ht="12.75" customHeight="1" x14ac:dyDescent="0.25">
      <c r="A143" s="8" t="s">
        <v>8</v>
      </c>
      <c r="B143" s="14">
        <f>[18]Report!$D$9</f>
        <v>189227602.33000001</v>
      </c>
      <c r="C143" s="14">
        <f>[18]Report!$D$10</f>
        <v>373925570.91000003</v>
      </c>
      <c r="D143" s="14">
        <f>[18]Report!$D$11</f>
        <v>66849729.920000002</v>
      </c>
      <c r="E143" s="14">
        <f>[18]Report!$D$12</f>
        <v>12629497.560000001</v>
      </c>
      <c r="F143" s="33">
        <f t="shared" ref="F143:F152" si="37">SUM(B143:E143)</f>
        <v>642632400.71999991</v>
      </c>
      <c r="G143" s="14">
        <f t="shared" ref="G143:G151" si="38">F143+G128</f>
        <v>1279355368.7199998</v>
      </c>
      <c r="H143" s="14">
        <f>[18]Report!$E$14</f>
        <v>1279355368.72</v>
      </c>
      <c r="I143" s="13">
        <f t="shared" ref="I143:I151" si="39">F143</f>
        <v>642632400.71999991</v>
      </c>
      <c r="J143" s="13">
        <f>[18]Report!$D$14</f>
        <v>642632400.71999991</v>
      </c>
      <c r="K143" s="34">
        <f t="shared" ref="K143:K151" si="40">I143-J143</f>
        <v>0</v>
      </c>
    </row>
    <row r="144" spans="1:11" s="10" customFormat="1" ht="12.75" customHeight="1" x14ac:dyDescent="0.25">
      <c r="A144" s="8" t="s">
        <v>9</v>
      </c>
      <c r="B144" s="14">
        <f>[18]Report!$D$16</f>
        <v>141099.89000000001</v>
      </c>
      <c r="C144" s="14">
        <f>[18]Report!$D$17</f>
        <v>286193.11</v>
      </c>
      <c r="D144" s="14">
        <f>[18]Report!$D$18</f>
        <v>51154.86</v>
      </c>
      <c r="E144" s="14">
        <f>[18]Report!$D$19</f>
        <v>13363.25</v>
      </c>
      <c r="F144" s="33">
        <f t="shared" si="37"/>
        <v>491811.11</v>
      </c>
      <c r="G144" s="14">
        <f t="shared" si="38"/>
        <v>882899.86</v>
      </c>
      <c r="H144" s="14">
        <f>[18]Report!$E$20</f>
        <v>882899.86</v>
      </c>
      <c r="I144" s="13">
        <f t="shared" si="39"/>
        <v>491811.11</v>
      </c>
      <c r="J144" s="13">
        <f>[18]Report!$D$20</f>
        <v>491811.11</v>
      </c>
      <c r="K144" s="34">
        <f t="shared" si="40"/>
        <v>0</v>
      </c>
    </row>
    <row r="145" spans="1:11" s="10" customFormat="1" ht="12.75" customHeight="1" x14ac:dyDescent="0.25">
      <c r="A145" s="8" t="s">
        <v>10</v>
      </c>
      <c r="B145" s="14">
        <f>[18]Report!$D$22</f>
        <v>42018.14</v>
      </c>
      <c r="C145" s="14">
        <f>[18]Report!$D$23</f>
        <v>85222.59</v>
      </c>
      <c r="D145" s="13">
        <f>[18]Report!$D$24</f>
        <v>15231.39</v>
      </c>
      <c r="E145" s="13">
        <f>[18]Report!$D$25</f>
        <v>3983.56</v>
      </c>
      <c r="F145" s="33">
        <f t="shared" si="37"/>
        <v>146455.67999999999</v>
      </c>
      <c r="G145" s="14">
        <f t="shared" si="38"/>
        <v>439513.15</v>
      </c>
      <c r="H145" s="13">
        <f>[18]Report!$E$26</f>
        <v>439513.15</v>
      </c>
      <c r="I145" s="13">
        <f t="shared" si="39"/>
        <v>146455.67999999999</v>
      </c>
      <c r="J145" s="13">
        <f>[18]Report!$D$26</f>
        <v>146455.67999999999</v>
      </c>
      <c r="K145" s="34">
        <f t="shared" si="40"/>
        <v>0</v>
      </c>
    </row>
    <row r="146" spans="1:11" s="10" customFormat="1" ht="12.75" customHeight="1" x14ac:dyDescent="0.25">
      <c r="A146" s="8" t="s">
        <v>11</v>
      </c>
      <c r="B146" s="13">
        <f>[18]Report!$D$28</f>
        <v>0</v>
      </c>
      <c r="C146" s="13">
        <f>[18]Report!$D$29</f>
        <v>0</v>
      </c>
      <c r="D146" s="13">
        <f>[18]Report!$D$30</f>
        <v>0</v>
      </c>
      <c r="E146" s="13">
        <f>[18]Report!$D$31</f>
        <v>0</v>
      </c>
      <c r="F146" s="33">
        <f t="shared" si="37"/>
        <v>0</v>
      </c>
      <c r="G146" s="14">
        <f t="shared" si="38"/>
        <v>0</v>
      </c>
      <c r="H146" s="13">
        <f>[18]Report!$E$32</f>
        <v>0</v>
      </c>
      <c r="I146" s="13">
        <f t="shared" si="39"/>
        <v>0</v>
      </c>
      <c r="J146" s="13">
        <f>[18]Report!$D$32</f>
        <v>0</v>
      </c>
      <c r="K146" s="34">
        <f t="shared" si="40"/>
        <v>0</v>
      </c>
    </row>
    <row r="147" spans="1:11" s="10" customFormat="1" ht="12.75" customHeight="1" x14ac:dyDescent="0.25">
      <c r="A147" s="8" t="s">
        <v>12</v>
      </c>
      <c r="B147" s="13">
        <f>[18]Report!$D$34</f>
        <v>-357765.34</v>
      </c>
      <c r="C147" s="13">
        <f>[18]Report!$D$35</f>
        <v>1048685.97</v>
      </c>
      <c r="D147" s="13">
        <f>[18]Report!$D$36</f>
        <v>187316.49</v>
      </c>
      <c r="E147" s="13">
        <f>[18]Report!$D$37</f>
        <v>48542.87</v>
      </c>
      <c r="F147" s="33">
        <f t="shared" si="37"/>
        <v>926779.98999999987</v>
      </c>
      <c r="G147" s="14">
        <f t="shared" si="38"/>
        <v>-2571426.1100000003</v>
      </c>
      <c r="H147" s="13">
        <f>[18]Report!$E$38</f>
        <v>-2571426.11</v>
      </c>
      <c r="I147" s="13">
        <f t="shared" si="39"/>
        <v>926779.98999999987</v>
      </c>
      <c r="J147" s="13">
        <f>[18]Report!$D$38</f>
        <v>926779.98999999987</v>
      </c>
      <c r="K147" s="34">
        <f t="shared" si="40"/>
        <v>0</v>
      </c>
    </row>
    <row r="148" spans="1:11" s="10" customFormat="1" ht="12.75" customHeight="1" x14ac:dyDescent="0.25">
      <c r="A148" s="8" t="s">
        <v>13</v>
      </c>
      <c r="B148" s="13">
        <f>[18]Report!$D$40</f>
        <v>-142400196.27000001</v>
      </c>
      <c r="C148" s="13">
        <f>[18]Report!$D$41</f>
        <v>-377541665.13</v>
      </c>
      <c r="D148" s="13">
        <f>[18]Report!$D$42</f>
        <v>-66600565.369999997</v>
      </c>
      <c r="E148" s="13">
        <f>[18]Report!$D$43</f>
        <v>-793499.15</v>
      </c>
      <c r="F148" s="33">
        <f t="shared" si="37"/>
        <v>-587335925.91999996</v>
      </c>
      <c r="G148" s="14">
        <f t="shared" si="38"/>
        <v>-1313544948.3699999</v>
      </c>
      <c r="H148" s="13">
        <f>[18]Report!$E$44</f>
        <v>-1313544948.3700001</v>
      </c>
      <c r="I148" s="13">
        <f t="shared" si="39"/>
        <v>-587335925.91999996</v>
      </c>
      <c r="J148" s="13">
        <f>[18]Report!$D$44</f>
        <v>-587335925.91999996</v>
      </c>
      <c r="K148" s="34">
        <f t="shared" si="40"/>
        <v>0</v>
      </c>
    </row>
    <row r="149" spans="1:11" s="10" customFormat="1" ht="12.75" customHeight="1" x14ac:dyDescent="0.25">
      <c r="A149" s="8" t="s">
        <v>14</v>
      </c>
      <c r="B149" s="23">
        <f>[18]Report!$D$56</f>
        <v>-5520305.5300000003</v>
      </c>
      <c r="C149" s="13">
        <f>[18]Report!$D$57</f>
        <v>-7353770.0499999998</v>
      </c>
      <c r="D149" s="13">
        <f>[18]Report!$D$58</f>
        <v>-380039.22</v>
      </c>
      <c r="E149" s="13">
        <f>[18]Report!$D$59</f>
        <v>-711271.08</v>
      </c>
      <c r="F149" s="33">
        <f t="shared" si="37"/>
        <v>-13965385.880000001</v>
      </c>
      <c r="G149" s="14">
        <f t="shared" si="38"/>
        <v>-14946057.850000001</v>
      </c>
      <c r="H149" s="13">
        <f>[18]Report!$E$60</f>
        <v>-14946057.850000001</v>
      </c>
      <c r="I149" s="13">
        <f t="shared" si="39"/>
        <v>-13965385.880000001</v>
      </c>
      <c r="J149" s="13">
        <f>[18]Report!$D$60</f>
        <v>-13965385.880000001</v>
      </c>
      <c r="K149" s="34">
        <f t="shared" si="40"/>
        <v>0</v>
      </c>
    </row>
    <row r="150" spans="1:11" s="10" customFormat="1" ht="12.75" customHeight="1" x14ac:dyDescent="0.25">
      <c r="A150" s="8" t="s">
        <v>15</v>
      </c>
      <c r="B150" s="61">
        <f>[18]Report!$D$62</f>
        <v>6564411.1100000003</v>
      </c>
      <c r="C150" s="13">
        <f>[18]Report!$D$63</f>
        <v>678564.39</v>
      </c>
      <c r="D150" s="61">
        <f>[18]Report!$D$64</f>
        <v>242884.26</v>
      </c>
      <c r="E150" s="61">
        <f>[18]Report!$D$65</f>
        <v>373082.62</v>
      </c>
      <c r="F150" s="33">
        <f t="shared" si="37"/>
        <v>7858942.3799999999</v>
      </c>
      <c r="G150" s="14">
        <f t="shared" si="38"/>
        <v>16984062.969999999</v>
      </c>
      <c r="H150" s="14">
        <f>[18]Report!$E$66</f>
        <v>16984062.970000003</v>
      </c>
      <c r="I150" s="13">
        <f t="shared" si="39"/>
        <v>7858942.3799999999</v>
      </c>
      <c r="J150" s="13">
        <f>[18]Report!$D$66</f>
        <v>7858942.3799999999</v>
      </c>
      <c r="K150" s="34">
        <f t="shared" si="40"/>
        <v>0</v>
      </c>
    </row>
    <row r="151" spans="1:11" s="10" customFormat="1" ht="12.75" customHeight="1" x14ac:dyDescent="0.25">
      <c r="A151" s="8" t="s">
        <v>79</v>
      </c>
      <c r="B151" s="61"/>
      <c r="C151" s="13"/>
      <c r="D151" s="61"/>
      <c r="E151" s="61"/>
      <c r="F151" s="33">
        <f t="shared" si="37"/>
        <v>0</v>
      </c>
      <c r="G151" s="14">
        <f t="shared" si="38"/>
        <v>0</v>
      </c>
      <c r="H151" s="14">
        <f>[18]Report!$E$54</f>
        <v>0</v>
      </c>
      <c r="I151" s="13">
        <f t="shared" si="39"/>
        <v>0</v>
      </c>
      <c r="J151" s="13">
        <f>[18]Report!$D$54</f>
        <v>0</v>
      </c>
      <c r="K151" s="34">
        <f t="shared" si="40"/>
        <v>0</v>
      </c>
    </row>
    <row r="152" spans="1:11" s="20" customFormat="1" ht="12.75" customHeight="1" thickBot="1" x14ac:dyDescent="0.3">
      <c r="A152" s="16" t="s">
        <v>16</v>
      </c>
      <c r="B152" s="17">
        <f>SUM(B137:B150)</f>
        <v>4867620636.064374</v>
      </c>
      <c r="C152" s="17">
        <f>SUM(C137:C150)</f>
        <v>2999731662.1815753</v>
      </c>
      <c r="D152" s="17">
        <f>SUM(D137:D150)</f>
        <v>2568724332.7261233</v>
      </c>
      <c r="E152" s="17">
        <f>SUM(E137:E150)</f>
        <v>278704029.7950232</v>
      </c>
      <c r="F152" s="17">
        <f t="shared" si="37"/>
        <v>10714780660.767096</v>
      </c>
      <c r="G152" s="82">
        <f>G143+G144+G145+G146+G147+G148+G149+G150+G151</f>
        <v>-33400587.630000003</v>
      </c>
      <c r="H152" s="82">
        <f>H143+H144+H145+H146+H147+H148+H149+H150+H151</f>
        <v>-33400587.629999999</v>
      </c>
      <c r="I152" s="81">
        <f>I143+I144+I145+I146+I147+I148+I149+I150+I151</f>
        <v>50755078.079999924</v>
      </c>
      <c r="J152" s="81">
        <f>J143+J144+J145+J146+J147+J148+J149+J150+J151</f>
        <v>50755078.079999924</v>
      </c>
      <c r="K152" s="19">
        <f>SUM(K143:K150)</f>
        <v>0</v>
      </c>
    </row>
    <row r="153" spans="1:11" s="20" customFormat="1" ht="12.75" customHeight="1" thickTop="1" x14ac:dyDescent="0.25">
      <c r="A153" s="16"/>
      <c r="B153" s="60"/>
      <c r="C153" s="60"/>
      <c r="D153" s="60"/>
      <c r="E153" s="60"/>
      <c r="F153" s="33"/>
      <c r="G153" s="33"/>
      <c r="H153" s="33"/>
      <c r="I153" s="19"/>
      <c r="J153" s="19"/>
      <c r="K153" s="85"/>
    </row>
    <row r="154" spans="1:11" s="20" customFormat="1" ht="12.75" customHeight="1" x14ac:dyDescent="0.25">
      <c r="A154" s="16"/>
      <c r="B154" s="60"/>
      <c r="C154" s="60"/>
      <c r="D154" s="60"/>
      <c r="E154" s="60"/>
      <c r="F154" s="33"/>
      <c r="G154" s="33"/>
      <c r="H154" s="33"/>
      <c r="I154" s="19"/>
      <c r="J154" s="19"/>
      <c r="K154" s="85"/>
    </row>
    <row r="155" spans="1:11" s="20" customFormat="1" ht="12.75" customHeight="1" x14ac:dyDescent="0.25">
      <c r="A155" s="16"/>
      <c r="B155" s="60"/>
      <c r="C155" s="60"/>
      <c r="D155" s="60"/>
      <c r="E155" s="60"/>
      <c r="F155" s="33"/>
      <c r="G155" s="33"/>
      <c r="H155" s="33"/>
      <c r="I155" s="19"/>
      <c r="J155" s="19"/>
      <c r="K155" s="85"/>
    </row>
    <row r="156" spans="1:11" s="10" customFormat="1" ht="12.75" customHeight="1" x14ac:dyDescent="0.25">
      <c r="A156" s="8"/>
      <c r="B156" s="13"/>
      <c r="C156" s="13"/>
      <c r="F156" s="13"/>
      <c r="G156" s="19" t="s">
        <v>32</v>
      </c>
      <c r="H156" s="19" t="s">
        <v>32</v>
      </c>
      <c r="I156" s="19" t="s">
        <v>31</v>
      </c>
      <c r="J156" s="19" t="s">
        <v>31</v>
      </c>
      <c r="K156" s="19" t="s">
        <v>85</v>
      </c>
    </row>
    <row r="157" spans="1:11" s="10" customFormat="1" ht="12.75" customHeight="1" x14ac:dyDescent="0.25">
      <c r="A157" s="15" t="s">
        <v>54</v>
      </c>
      <c r="B157" s="21"/>
      <c r="C157" s="21"/>
      <c r="D157" s="22"/>
      <c r="E157" s="22"/>
      <c r="F157" s="21"/>
      <c r="G157" s="19" t="s">
        <v>44</v>
      </c>
      <c r="H157" s="20" t="s">
        <v>45</v>
      </c>
      <c r="I157" s="19" t="s">
        <v>44</v>
      </c>
      <c r="J157" s="20" t="s">
        <v>45</v>
      </c>
    </row>
    <row r="158" spans="1:11" s="10" customFormat="1" ht="12.75" customHeight="1" x14ac:dyDescent="0.25">
      <c r="A158" s="8" t="s">
        <v>8</v>
      </c>
      <c r="B158" s="14">
        <f>'[10]TB Dec 08'!D9</f>
        <v>187626532.36000001</v>
      </c>
      <c r="C158" s="14">
        <f>'[10]TB Dec 08'!D10</f>
        <v>370513674.38</v>
      </c>
      <c r="D158" s="14">
        <f>'[10]TB Dec 08'!D11</f>
        <v>66289073.159999996</v>
      </c>
      <c r="E158" s="14">
        <f>'[10]TB Dec 08'!D12</f>
        <v>12495759.289999999</v>
      </c>
      <c r="F158" s="33">
        <f t="shared" ref="F158:F166" si="41">SUM(B158:E158)</f>
        <v>636925039.18999994</v>
      </c>
      <c r="G158" s="14">
        <f t="shared" ref="G158:G165" si="42">F158+G143</f>
        <v>1916280407.9099998</v>
      </c>
      <c r="H158" s="63">
        <f>'[10]TB Dec 08'!E14</f>
        <v>1916280407.9100001</v>
      </c>
      <c r="I158" s="63">
        <f t="shared" ref="I158:I165" si="43">F158</f>
        <v>636925039.18999994</v>
      </c>
      <c r="J158" s="63">
        <f>'[10]TB Dec 08'!D14</f>
        <v>636925039.18999994</v>
      </c>
      <c r="K158" s="34">
        <f t="shared" ref="K158:K165" si="44">I158-J158</f>
        <v>0</v>
      </c>
    </row>
    <row r="159" spans="1:11" s="10" customFormat="1" ht="12.75" customHeight="1" x14ac:dyDescent="0.25">
      <c r="A159" s="8" t="s">
        <v>9</v>
      </c>
      <c r="B159" s="14">
        <f>'[10]TB Dec 08'!D16</f>
        <v>155249.91</v>
      </c>
      <c r="C159" s="14">
        <f>'[10]TB Dec 08'!D17</f>
        <v>313757.83</v>
      </c>
      <c r="D159" s="14">
        <f>'[10]TB Dec 08'!D18</f>
        <v>56367.97</v>
      </c>
      <c r="E159" s="14">
        <f>'[10]TB Dec 08'!D19</f>
        <v>14580.64</v>
      </c>
      <c r="F159" s="33">
        <f t="shared" si="41"/>
        <v>539956.35</v>
      </c>
      <c r="G159" s="14">
        <f t="shared" si="42"/>
        <v>1422856.21</v>
      </c>
      <c r="H159" s="63">
        <f>'[10]TB Dec 08'!E20</f>
        <v>1422856.21</v>
      </c>
      <c r="I159" s="63">
        <f t="shared" si="43"/>
        <v>539956.35</v>
      </c>
      <c r="J159" s="63">
        <f>'[10]TB Dec 08'!D20</f>
        <v>539956.35</v>
      </c>
      <c r="K159" s="34">
        <f t="shared" si="44"/>
        <v>0</v>
      </c>
    </row>
    <row r="160" spans="1:11" s="10" customFormat="1" ht="12.75" customHeight="1" x14ac:dyDescent="0.25">
      <c r="A160" s="8" t="s">
        <v>10</v>
      </c>
      <c r="B160" s="14">
        <f>'[10]TB Dec 08'!D22</f>
        <v>49828.32</v>
      </c>
      <c r="C160" s="14">
        <f>'[10]TB Dec 08'!D23</f>
        <v>101063.4</v>
      </c>
      <c r="D160" s="14">
        <f>'[10]TB Dec 08'!D24</f>
        <v>18062.57</v>
      </c>
      <c r="E160" s="14">
        <f>'[10]TB Dec 08'!D25</f>
        <v>4724.04</v>
      </c>
      <c r="F160" s="33">
        <f t="shared" si="41"/>
        <v>173678.33000000002</v>
      </c>
      <c r="G160" s="14">
        <f t="shared" si="42"/>
        <v>613191.48</v>
      </c>
      <c r="H160" s="63">
        <f>'[10]TB Dec 08'!E26</f>
        <v>613191.48</v>
      </c>
      <c r="I160" s="63">
        <f t="shared" si="43"/>
        <v>173678.33000000002</v>
      </c>
      <c r="J160" s="63">
        <f>'[10]TB Dec 08'!D26</f>
        <v>173678.33000000002</v>
      </c>
      <c r="K160" s="34">
        <f t="shared" si="44"/>
        <v>0</v>
      </c>
    </row>
    <row r="161" spans="1:11" s="10" customFormat="1" ht="12.75" customHeight="1" x14ac:dyDescent="0.25">
      <c r="A161" s="8" t="s">
        <v>11</v>
      </c>
      <c r="B161" s="14">
        <f>'[10]TB Dec 08'!D28</f>
        <v>0</v>
      </c>
      <c r="C161" s="14">
        <f>'[10]TB Dec 08'!D29</f>
        <v>0</v>
      </c>
      <c r="D161" s="14">
        <f>'[10]TB Dec 08'!D30</f>
        <v>0</v>
      </c>
      <c r="E161" s="14">
        <f>'[10]TB Dec 08'!D31</f>
        <v>0</v>
      </c>
      <c r="F161" s="33">
        <f t="shared" si="41"/>
        <v>0</v>
      </c>
      <c r="G161" s="14">
        <f t="shared" si="42"/>
        <v>0</v>
      </c>
      <c r="H161" s="63">
        <f>'[10]TB Dec 08'!E32</f>
        <v>0</v>
      </c>
      <c r="I161" s="63">
        <f t="shared" si="43"/>
        <v>0</v>
      </c>
      <c r="J161" s="63">
        <f>'[10]TB Dec 08'!D32</f>
        <v>0</v>
      </c>
      <c r="K161" s="34">
        <f t="shared" si="44"/>
        <v>0</v>
      </c>
    </row>
    <row r="162" spans="1:11" s="10" customFormat="1" ht="12.75" customHeight="1" x14ac:dyDescent="0.25">
      <c r="A162" s="8" t="s">
        <v>12</v>
      </c>
      <c r="B162" s="14">
        <f>'[10]TB Dec 08'!D34</f>
        <v>13232.04</v>
      </c>
      <c r="C162" s="14">
        <f>'[10]TB Dec 08'!D35</f>
        <v>1471913.23</v>
      </c>
      <c r="D162" s="14">
        <f>'[10]TB Dec 08'!D36</f>
        <v>262976.58</v>
      </c>
      <c r="E162" s="14">
        <f>'[10]TB Dec 08'!D37</f>
        <v>68858.990000000005</v>
      </c>
      <c r="F162" s="33">
        <f t="shared" si="41"/>
        <v>1816980.84</v>
      </c>
      <c r="G162" s="14">
        <f t="shared" si="42"/>
        <v>-754445.27000000025</v>
      </c>
      <c r="H162" s="63">
        <f>'[10]TB Dec 08'!E38</f>
        <v>-754445.27000000014</v>
      </c>
      <c r="I162" s="63">
        <f t="shared" si="43"/>
        <v>1816980.84</v>
      </c>
      <c r="J162" s="63">
        <f>'[10]TB Dec 08'!D38</f>
        <v>1816980.84</v>
      </c>
      <c r="K162" s="34">
        <f t="shared" si="44"/>
        <v>0</v>
      </c>
    </row>
    <row r="163" spans="1:11" s="10" customFormat="1" ht="12.75" customHeight="1" x14ac:dyDescent="0.25">
      <c r="A163" s="8" t="s">
        <v>13</v>
      </c>
      <c r="B163" s="14">
        <f>'[10]TB Dec 08'!D40</f>
        <v>-143164504.66999999</v>
      </c>
      <c r="C163" s="14">
        <f>'[10]TB Dec 08'!D41</f>
        <v>-421898170</v>
      </c>
      <c r="D163" s="14">
        <f>'[10]TB Dec 08'!D42</f>
        <v>-67041004</v>
      </c>
      <c r="E163" s="14">
        <f>'[10]TB Dec 08'!D43</f>
        <v>-2458361.5499999998</v>
      </c>
      <c r="F163" s="33">
        <f t="shared" si="41"/>
        <v>-634562040.21999991</v>
      </c>
      <c r="G163" s="14">
        <f t="shared" si="42"/>
        <v>-1948106988.5899997</v>
      </c>
      <c r="H163" s="63">
        <f>'[10]TB Dec 08'!E44</f>
        <v>-1948106988.5900002</v>
      </c>
      <c r="I163" s="63">
        <f t="shared" si="43"/>
        <v>-634562040.21999991</v>
      </c>
      <c r="J163" s="63">
        <f>'[10]TB Dec 08'!D44</f>
        <v>-634562040.21999991</v>
      </c>
      <c r="K163" s="34">
        <f t="shared" si="44"/>
        <v>0</v>
      </c>
    </row>
    <row r="164" spans="1:11" s="10" customFormat="1" ht="12.75" customHeight="1" x14ac:dyDescent="0.25">
      <c r="A164" s="8" t="s">
        <v>14</v>
      </c>
      <c r="B164" s="109">
        <f>'[10]TB Dec 08'!D56</f>
        <v>-9941372.9499999993</v>
      </c>
      <c r="C164" s="109">
        <f>'[10]TB Dec 08'!D57</f>
        <v>-4228066.96</v>
      </c>
      <c r="D164" s="109">
        <f>'[10]TB Dec 08'!D58</f>
        <v>-318177.17</v>
      </c>
      <c r="E164" s="109">
        <f>'[10]TB Dec 08'!D59</f>
        <v>-745215.3</v>
      </c>
      <c r="F164" s="110">
        <f t="shared" si="41"/>
        <v>-15232832.380000001</v>
      </c>
      <c r="G164" s="109">
        <f t="shared" si="42"/>
        <v>-30178890.230000004</v>
      </c>
      <c r="H164" s="111">
        <f>'[10]TB Dec 08'!E60</f>
        <v>-30178890.229999997</v>
      </c>
      <c r="I164" s="63">
        <f t="shared" si="43"/>
        <v>-15232832.380000001</v>
      </c>
      <c r="J164" s="63">
        <f>'[10]TB Dec 08'!D60</f>
        <v>-15232832.380000001</v>
      </c>
      <c r="K164" s="34">
        <f t="shared" si="44"/>
        <v>0</v>
      </c>
    </row>
    <row r="165" spans="1:11" s="10" customFormat="1" ht="12.75" customHeight="1" x14ac:dyDescent="0.25">
      <c r="A165" s="8" t="s">
        <v>15</v>
      </c>
      <c r="B165" s="62">
        <f>'[10]TB Dec 08'!D62</f>
        <v>6121965.1699999999</v>
      </c>
      <c r="C165" s="13">
        <f>'[10]TB Dec 08'!D63</f>
        <v>587189.65</v>
      </c>
      <c r="D165" s="96">
        <f>'[10]TB Dec 08'!D64</f>
        <v>223511.17</v>
      </c>
      <c r="E165" s="96">
        <f>'[10]TB Dec 08'!D65</f>
        <v>368416.9</v>
      </c>
      <c r="F165" s="33">
        <f t="shared" si="41"/>
        <v>7301082.8900000006</v>
      </c>
      <c r="G165" s="139">
        <f t="shared" si="42"/>
        <v>24285145.859999999</v>
      </c>
      <c r="H165" s="63">
        <f>'[10]TB Dec 08'!E66</f>
        <v>24285145.859999999</v>
      </c>
      <c r="I165" s="63">
        <f t="shared" si="43"/>
        <v>7301082.8900000006</v>
      </c>
      <c r="J165" s="63">
        <f>'[10]TB Dec 08'!D66</f>
        <v>7301082.8900000006</v>
      </c>
      <c r="K165" s="34">
        <f t="shared" si="44"/>
        <v>0</v>
      </c>
    </row>
    <row r="166" spans="1:11" s="20" customFormat="1" ht="12.75" customHeight="1" thickBot="1" x14ac:dyDescent="0.3">
      <c r="A166" s="16" t="s">
        <v>16</v>
      </c>
      <c r="B166" s="17">
        <f>SUM(B152:B165)</f>
        <v>4908481566.2443733</v>
      </c>
      <c r="C166" s="17">
        <f>SUM(C152:C165)</f>
        <v>2946593023.7115755</v>
      </c>
      <c r="D166" s="17">
        <f>SUM(D152:D165)</f>
        <v>2568215143.0061231</v>
      </c>
      <c r="E166" s="17">
        <f>SUM(E152:E165)</f>
        <v>288452792.80502319</v>
      </c>
      <c r="F166" s="18">
        <f t="shared" si="41"/>
        <v>10711742525.767096</v>
      </c>
      <c r="G166" s="82">
        <f>SUM(G158:G165)</f>
        <v>-36438722.629999757</v>
      </c>
      <c r="H166" s="82">
        <f>SUM(H158:H165)</f>
        <v>-36438722.629999988</v>
      </c>
      <c r="I166" s="81">
        <f>SUM(I158:I165)</f>
        <v>-3038134.9999998715</v>
      </c>
      <c r="J166" s="81">
        <f>SUM(J158:J165)</f>
        <v>-3038134.9999998715</v>
      </c>
      <c r="K166" s="82">
        <f>SUM(K158:K165)</f>
        <v>0</v>
      </c>
    </row>
    <row r="167" spans="1:11" s="10" customFormat="1" ht="12.75" customHeight="1" thickTop="1" x14ac:dyDescent="0.25">
      <c r="A167" s="27"/>
      <c r="B167" s="28"/>
      <c r="C167" s="14"/>
      <c r="D167" s="28"/>
      <c r="E167" s="28"/>
      <c r="F167" s="14"/>
      <c r="G167" s="14"/>
      <c r="H167" s="14"/>
      <c r="I167" s="13"/>
      <c r="K167" s="19"/>
    </row>
    <row r="168" spans="1:11" s="28" customFormat="1" ht="12.75" customHeight="1" x14ac:dyDescent="0.25">
      <c r="A168" s="8"/>
      <c r="B168" s="14"/>
      <c r="C168" s="14"/>
      <c r="D168" s="14"/>
      <c r="E168" s="14"/>
      <c r="F168" s="14"/>
      <c r="G168" s="14"/>
      <c r="H168" s="14"/>
    </row>
    <row r="169" spans="1:11" s="10" customFormat="1" ht="12.75" customHeight="1" x14ac:dyDescent="0.25">
      <c r="A169" s="8"/>
      <c r="B169" s="14"/>
      <c r="C169" s="14"/>
      <c r="D169" s="13"/>
      <c r="E169" s="13"/>
      <c r="F169" s="14"/>
      <c r="G169" s="14"/>
      <c r="H169" s="14"/>
    </row>
    <row r="170" spans="1:11" s="10" customFormat="1" ht="12.75" customHeight="1" x14ac:dyDescent="0.25">
      <c r="A170" s="8"/>
      <c r="B170" s="14"/>
      <c r="C170" s="14"/>
      <c r="D170" s="13"/>
      <c r="E170" s="13"/>
      <c r="F170" s="14"/>
      <c r="G170" s="14"/>
      <c r="H170" s="14"/>
    </row>
    <row r="171" spans="1:11" s="10" customFormat="1" ht="12.75" customHeight="1" x14ac:dyDescent="0.25">
      <c r="A171" s="8"/>
      <c r="C171" s="13"/>
      <c r="F171" s="14"/>
      <c r="G171" s="14"/>
      <c r="H171" s="14"/>
    </row>
    <row r="172" spans="1:11" s="10" customFormat="1" ht="12.75" customHeight="1" x14ac:dyDescent="0.25">
      <c r="A172" s="8"/>
      <c r="C172" s="13"/>
      <c r="F172" s="14"/>
      <c r="G172" s="14"/>
      <c r="H172" s="14"/>
    </row>
    <row r="173" spans="1:11" s="10" customFormat="1" ht="12.75" customHeight="1" x14ac:dyDescent="0.25">
      <c r="A173" s="8"/>
      <c r="C173" s="13"/>
      <c r="F173" s="14"/>
      <c r="G173" s="14"/>
      <c r="H173" s="14"/>
    </row>
    <row r="174" spans="1:11" s="10" customFormat="1" ht="12.75" customHeight="1" x14ac:dyDescent="0.25">
      <c r="A174" s="8"/>
      <c r="C174" s="13"/>
      <c r="F174" s="14"/>
      <c r="G174" s="14"/>
      <c r="H174" s="14"/>
    </row>
    <row r="175" spans="1:11" s="10" customFormat="1" ht="12.75" customHeight="1" x14ac:dyDescent="0.25">
      <c r="A175" s="8"/>
      <c r="C175" s="13"/>
      <c r="F175" s="14"/>
      <c r="G175" s="14"/>
      <c r="H175" s="14"/>
    </row>
    <row r="176" spans="1:11" s="10" customFormat="1" ht="12.75" customHeight="1" x14ac:dyDescent="0.25">
      <c r="A176" s="8"/>
      <c r="C176" s="13"/>
      <c r="F176" s="14"/>
      <c r="G176" s="14"/>
      <c r="H176" s="14"/>
    </row>
    <row r="177" spans="1:8" ht="12.75" customHeight="1" x14ac:dyDescent="0.25">
      <c r="A177" s="8"/>
      <c r="B177" s="10"/>
      <c r="C177" s="13"/>
      <c r="D177" s="10"/>
      <c r="E177" s="10"/>
      <c r="F177" s="14"/>
      <c r="G177" s="14"/>
      <c r="H177" s="14"/>
    </row>
    <row r="178" spans="1:8" ht="12.75" customHeight="1" x14ac:dyDescent="0.25">
      <c r="A178" s="8"/>
      <c r="B178" s="10"/>
      <c r="C178" s="13"/>
      <c r="D178" s="10"/>
      <c r="E178" s="10"/>
      <c r="F178" s="23"/>
      <c r="G178" s="23"/>
      <c r="H178" s="23"/>
    </row>
    <row r="179" spans="1:8" ht="12.75" customHeight="1" x14ac:dyDescent="0.25">
      <c r="A179" s="8"/>
      <c r="B179" s="10"/>
      <c r="C179" s="13"/>
      <c r="D179" s="10"/>
      <c r="E179" s="10"/>
      <c r="F179" s="10"/>
    </row>
    <row r="180" spans="1:8" ht="12.75" customHeight="1" x14ac:dyDescent="0.25">
      <c r="A180" s="8"/>
      <c r="B180" s="10"/>
      <c r="C180" s="13"/>
      <c r="D180" s="10"/>
      <c r="E180" s="10"/>
      <c r="F180" s="10"/>
    </row>
    <row r="181" spans="1:8" ht="12.75" customHeight="1" x14ac:dyDescent="0.25">
      <c r="A181" s="8"/>
      <c r="B181" s="10"/>
      <c r="C181" s="13"/>
      <c r="D181" s="10"/>
      <c r="E181" s="10"/>
      <c r="F181" s="10"/>
    </row>
    <row r="182" spans="1:8" ht="12.75" customHeight="1" x14ac:dyDescent="0.25">
      <c r="A182" s="8"/>
      <c r="B182" s="10"/>
      <c r="C182" s="13"/>
      <c r="D182" s="10"/>
      <c r="E182" s="10"/>
      <c r="F182" s="10"/>
    </row>
    <row r="183" spans="1:8" ht="12.75" customHeight="1" x14ac:dyDescent="0.25">
      <c r="A183" s="8"/>
      <c r="B183" s="10"/>
      <c r="C183" s="13"/>
      <c r="D183" s="10"/>
      <c r="E183" s="10"/>
      <c r="F183" s="10"/>
    </row>
    <row r="184" spans="1:8" ht="12.75" customHeight="1" x14ac:dyDescent="0.25">
      <c r="A184" s="8"/>
      <c r="B184" s="10"/>
      <c r="C184" s="13"/>
      <c r="D184" s="10"/>
      <c r="E184" s="10"/>
      <c r="F184" s="10"/>
    </row>
    <row r="185" spans="1:8" ht="12.75" customHeight="1" x14ac:dyDescent="0.25">
      <c r="A185" s="8"/>
      <c r="B185" s="10"/>
      <c r="C185" s="13"/>
      <c r="D185" s="10"/>
      <c r="E185" s="10"/>
      <c r="F185" s="10"/>
    </row>
    <row r="186" spans="1:8" ht="12.75" customHeight="1" x14ac:dyDescent="0.25">
      <c r="A186" s="8"/>
      <c r="B186" s="10"/>
      <c r="C186" s="13"/>
      <c r="D186" s="10"/>
      <c r="E186" s="10"/>
      <c r="F186" s="10"/>
    </row>
    <row r="187" spans="1:8" ht="12.75" customHeight="1" x14ac:dyDescent="0.25">
      <c r="A187" s="8"/>
      <c r="B187" s="10"/>
      <c r="C187" s="13"/>
      <c r="D187" s="10"/>
      <c r="E187" s="10"/>
      <c r="F187" s="10"/>
    </row>
    <row r="188" spans="1:8" ht="12.75" customHeight="1" x14ac:dyDescent="0.25">
      <c r="A188" s="8"/>
      <c r="B188" s="10"/>
      <c r="C188" s="13"/>
      <c r="D188" s="10"/>
      <c r="E188" s="10"/>
      <c r="F188" s="10"/>
    </row>
    <row r="189" spans="1:8" x14ac:dyDescent="0.25">
      <c r="A189" s="8"/>
      <c r="B189" s="10"/>
      <c r="C189" s="13"/>
      <c r="D189" s="10"/>
      <c r="E189" s="10"/>
      <c r="F189" s="10"/>
    </row>
    <row r="190" spans="1:8" x14ac:dyDescent="0.25">
      <c r="A190" s="8"/>
      <c r="B190" s="10"/>
      <c r="C190" s="13"/>
      <c r="D190" s="10"/>
      <c r="E190" s="10"/>
      <c r="F190" s="10"/>
    </row>
    <row r="191" spans="1:8" x14ac:dyDescent="0.25">
      <c r="A191" s="8"/>
      <c r="B191" s="10"/>
      <c r="C191" s="13"/>
      <c r="D191" s="10"/>
      <c r="E191" s="10"/>
      <c r="F191" s="10"/>
    </row>
    <row r="192" spans="1:8" x14ac:dyDescent="0.25">
      <c r="A192" s="8"/>
      <c r="B192" s="10"/>
      <c r="C192" s="13"/>
      <c r="D192" s="10"/>
      <c r="E192" s="10"/>
      <c r="F192" s="10"/>
    </row>
    <row r="193" spans="1:3" s="10" customFormat="1" x14ac:dyDescent="0.25">
      <c r="A193" s="8"/>
      <c r="C193" s="13"/>
    </row>
    <row r="194" spans="1:3" s="10" customFormat="1" x14ac:dyDescent="0.25">
      <c r="A194" s="8"/>
      <c r="C194" s="13"/>
    </row>
    <row r="195" spans="1:3" s="10" customFormat="1" x14ac:dyDescent="0.25">
      <c r="A195" s="8"/>
      <c r="C195" s="13"/>
    </row>
    <row r="196" spans="1:3" s="10" customFormat="1" x14ac:dyDescent="0.25">
      <c r="A196" s="8"/>
      <c r="C196" s="13"/>
    </row>
    <row r="197" spans="1:3" s="10" customFormat="1" x14ac:dyDescent="0.25">
      <c r="A197" s="8"/>
      <c r="C197" s="13"/>
    </row>
    <row r="198" spans="1:3" s="10" customFormat="1" x14ac:dyDescent="0.25">
      <c r="A198" s="8"/>
      <c r="C198" s="13"/>
    </row>
    <row r="199" spans="1:3" s="10" customFormat="1" x14ac:dyDescent="0.25">
      <c r="A199" s="8"/>
      <c r="C199" s="13"/>
    </row>
    <row r="200" spans="1:3" s="10" customFormat="1" x14ac:dyDescent="0.25">
      <c r="A200" s="8"/>
      <c r="C200" s="13"/>
    </row>
    <row r="201" spans="1:3" s="10" customFormat="1" x14ac:dyDescent="0.25">
      <c r="A201" s="8"/>
      <c r="C201" s="13"/>
    </row>
    <row r="202" spans="1:3" s="10" customFormat="1" x14ac:dyDescent="0.25">
      <c r="A202" s="8"/>
      <c r="C202" s="13"/>
    </row>
    <row r="203" spans="1:3" s="10" customFormat="1" x14ac:dyDescent="0.25">
      <c r="A203" s="8"/>
      <c r="C203" s="13"/>
    </row>
    <row r="204" spans="1:3" s="10" customFormat="1" x14ac:dyDescent="0.25">
      <c r="A204" s="8"/>
      <c r="C204" s="13"/>
    </row>
    <row r="205" spans="1:3" s="10" customFormat="1" x14ac:dyDescent="0.25">
      <c r="A205" s="8"/>
      <c r="C205" s="13"/>
    </row>
    <row r="206" spans="1:3" s="10" customFormat="1" x14ac:dyDescent="0.25">
      <c r="A206" s="8"/>
      <c r="C206" s="13"/>
    </row>
    <row r="207" spans="1:3" s="10" customFormat="1" x14ac:dyDescent="0.25">
      <c r="A207" s="8"/>
      <c r="C207" s="13"/>
    </row>
    <row r="208" spans="1:3" s="10" customFormat="1" x14ac:dyDescent="0.25">
      <c r="A208" s="8"/>
      <c r="C208" s="13"/>
    </row>
    <row r="209" spans="1:3" s="10" customFormat="1" x14ac:dyDescent="0.25">
      <c r="A209" s="8"/>
      <c r="C209" s="13"/>
    </row>
    <row r="210" spans="1:3" s="10" customFormat="1" x14ac:dyDescent="0.25">
      <c r="A210" s="8"/>
      <c r="C210" s="13"/>
    </row>
    <row r="211" spans="1:3" s="10" customFormat="1" x14ac:dyDescent="0.25">
      <c r="A211" s="8"/>
      <c r="C211" s="13"/>
    </row>
    <row r="212" spans="1:3" s="10" customFormat="1" x14ac:dyDescent="0.25">
      <c r="A212" s="8"/>
      <c r="C212" s="13"/>
    </row>
    <row r="213" spans="1:3" s="10" customFormat="1" x14ac:dyDescent="0.25">
      <c r="A213" s="8"/>
      <c r="C213" s="13"/>
    </row>
    <row r="214" spans="1:3" s="10" customFormat="1" x14ac:dyDescent="0.25">
      <c r="A214" s="8"/>
      <c r="C214" s="13"/>
    </row>
    <row r="215" spans="1:3" s="10" customFormat="1" x14ac:dyDescent="0.25">
      <c r="A215" s="8"/>
      <c r="C215" s="13"/>
    </row>
    <row r="216" spans="1:3" s="10" customFormat="1" x14ac:dyDescent="0.25">
      <c r="A216" s="8"/>
      <c r="C216" s="13"/>
    </row>
    <row r="217" spans="1:3" s="10" customFormat="1" x14ac:dyDescent="0.25">
      <c r="A217" s="8"/>
      <c r="C217" s="13"/>
    </row>
    <row r="218" spans="1:3" s="10" customFormat="1" x14ac:dyDescent="0.25">
      <c r="A218" s="8"/>
      <c r="C218" s="13"/>
    </row>
    <row r="219" spans="1:3" s="10" customFormat="1" x14ac:dyDescent="0.25">
      <c r="A219" s="8"/>
      <c r="C219" s="13"/>
    </row>
    <row r="220" spans="1:3" s="10" customFormat="1" x14ac:dyDescent="0.25">
      <c r="A220" s="8"/>
      <c r="C220" s="13"/>
    </row>
    <row r="221" spans="1:3" s="10" customFormat="1" x14ac:dyDescent="0.25">
      <c r="A221" s="8"/>
      <c r="C221" s="13"/>
    </row>
    <row r="222" spans="1:3" s="10" customFormat="1" x14ac:dyDescent="0.25">
      <c r="A222" s="8"/>
      <c r="C222" s="13"/>
    </row>
    <row r="223" spans="1:3" s="10" customFormat="1" x14ac:dyDescent="0.25">
      <c r="A223" s="8"/>
      <c r="C223" s="13"/>
    </row>
    <row r="224" spans="1:3" s="10" customFormat="1" x14ac:dyDescent="0.25">
      <c r="A224" s="8"/>
      <c r="C224" s="13"/>
    </row>
    <row r="225" spans="1:3" s="10" customFormat="1" x14ac:dyDescent="0.25">
      <c r="A225" s="8"/>
      <c r="C225" s="13"/>
    </row>
    <row r="226" spans="1:3" s="10" customFormat="1" x14ac:dyDescent="0.25">
      <c r="A226" s="8"/>
      <c r="C226" s="13"/>
    </row>
    <row r="227" spans="1:3" s="10" customFormat="1" x14ac:dyDescent="0.25">
      <c r="A227" s="8"/>
      <c r="C227" s="13"/>
    </row>
    <row r="228" spans="1:3" s="10" customFormat="1" x14ac:dyDescent="0.25">
      <c r="A228" s="8"/>
      <c r="C228" s="13"/>
    </row>
    <row r="229" spans="1:3" s="10" customFormat="1" x14ac:dyDescent="0.25">
      <c r="A229" s="8"/>
      <c r="C229" s="13"/>
    </row>
    <row r="230" spans="1:3" s="10" customFormat="1" x14ac:dyDescent="0.25">
      <c r="A230" s="8"/>
      <c r="C230" s="13"/>
    </row>
    <row r="231" spans="1:3" s="10" customFormat="1" x14ac:dyDescent="0.25">
      <c r="A231" s="8"/>
      <c r="C231" s="13"/>
    </row>
    <row r="232" spans="1:3" s="10" customFormat="1" x14ac:dyDescent="0.25">
      <c r="A232" s="8"/>
      <c r="C232" s="13"/>
    </row>
    <row r="233" spans="1:3" s="10" customFormat="1" x14ac:dyDescent="0.25">
      <c r="A233" s="8"/>
      <c r="C233" s="13"/>
    </row>
    <row r="234" spans="1:3" s="10" customFormat="1" x14ac:dyDescent="0.25">
      <c r="A234" s="8"/>
      <c r="C234" s="13"/>
    </row>
    <row r="235" spans="1:3" s="10" customFormat="1" x14ac:dyDescent="0.25">
      <c r="A235" s="8"/>
      <c r="C235" s="13"/>
    </row>
    <row r="236" spans="1:3" s="10" customFormat="1" x14ac:dyDescent="0.25">
      <c r="A236" s="8"/>
      <c r="C236" s="13"/>
    </row>
    <row r="237" spans="1:3" s="10" customFormat="1" x14ac:dyDescent="0.25">
      <c r="A237" s="8"/>
      <c r="C237" s="13"/>
    </row>
    <row r="238" spans="1:3" s="10" customFormat="1" x14ac:dyDescent="0.25">
      <c r="A238" s="8"/>
      <c r="C238" s="13"/>
    </row>
    <row r="239" spans="1:3" s="10" customFormat="1" x14ac:dyDescent="0.25">
      <c r="A239" s="8"/>
      <c r="C239" s="13"/>
    </row>
    <row r="240" spans="1:3" s="10" customFormat="1" x14ac:dyDescent="0.25">
      <c r="A240" s="8"/>
      <c r="C240" s="13"/>
    </row>
    <row r="241" spans="1:3" s="10" customFormat="1" x14ac:dyDescent="0.25">
      <c r="A241" s="8"/>
      <c r="C241" s="13"/>
    </row>
    <row r="242" spans="1:3" s="10" customFormat="1" x14ac:dyDescent="0.25">
      <c r="A242" s="8"/>
      <c r="C242" s="13"/>
    </row>
    <row r="243" spans="1:3" s="10" customFormat="1" x14ac:dyDescent="0.25">
      <c r="A243" s="8"/>
      <c r="C243" s="13"/>
    </row>
    <row r="244" spans="1:3" s="10" customFormat="1" x14ac:dyDescent="0.25">
      <c r="A244" s="8"/>
      <c r="C244" s="13"/>
    </row>
    <row r="245" spans="1:3" s="10" customFormat="1" x14ac:dyDescent="0.25">
      <c r="A245" s="8"/>
      <c r="C245" s="13"/>
    </row>
    <row r="246" spans="1:3" s="10" customFormat="1" x14ac:dyDescent="0.25">
      <c r="A246" s="8"/>
      <c r="C246" s="13"/>
    </row>
    <row r="247" spans="1:3" s="10" customFormat="1" x14ac:dyDescent="0.25">
      <c r="A247" s="8"/>
      <c r="C247" s="13"/>
    </row>
    <row r="248" spans="1:3" s="10" customFormat="1" x14ac:dyDescent="0.25">
      <c r="A248" s="8"/>
      <c r="C248" s="13"/>
    </row>
    <row r="249" spans="1:3" s="10" customFormat="1" x14ac:dyDescent="0.25">
      <c r="A249" s="8"/>
      <c r="C249" s="13"/>
    </row>
    <row r="250" spans="1:3" s="10" customFormat="1" x14ac:dyDescent="0.25">
      <c r="A250" s="8"/>
      <c r="C250" s="13"/>
    </row>
    <row r="251" spans="1:3" s="10" customFormat="1" x14ac:dyDescent="0.25">
      <c r="A251" s="8"/>
      <c r="C251" s="13"/>
    </row>
    <row r="252" spans="1:3" s="10" customFormat="1" x14ac:dyDescent="0.25">
      <c r="A252" s="8"/>
      <c r="C252" s="13"/>
    </row>
    <row r="253" spans="1:3" s="10" customFormat="1" x14ac:dyDescent="0.25">
      <c r="A253" s="8"/>
      <c r="C253" s="13"/>
    </row>
    <row r="254" spans="1:3" s="10" customFormat="1" x14ac:dyDescent="0.25">
      <c r="A254" s="8"/>
      <c r="C254" s="13"/>
    </row>
    <row r="255" spans="1:3" s="10" customFormat="1" x14ac:dyDescent="0.25">
      <c r="A255" s="8"/>
      <c r="C255" s="13"/>
    </row>
    <row r="256" spans="1:3" s="10" customFormat="1" x14ac:dyDescent="0.25">
      <c r="A256" s="8"/>
      <c r="C256" s="13"/>
    </row>
    <row r="257" spans="1:3" s="10" customFormat="1" x14ac:dyDescent="0.25">
      <c r="A257" s="8"/>
      <c r="C257" s="13"/>
    </row>
    <row r="258" spans="1:3" x14ac:dyDescent="0.25">
      <c r="C258" s="29"/>
    </row>
    <row r="259" spans="1:3" x14ac:dyDescent="0.25">
      <c r="C259" s="29"/>
    </row>
    <row r="260" spans="1:3" x14ac:dyDescent="0.25">
      <c r="C260" s="29"/>
    </row>
    <row r="261" spans="1:3" x14ac:dyDescent="0.25">
      <c r="C261" s="29"/>
    </row>
    <row r="262" spans="1:3" x14ac:dyDescent="0.25">
      <c r="C262" s="29"/>
    </row>
    <row r="263" spans="1:3" x14ac:dyDescent="0.25">
      <c r="C263" s="29"/>
    </row>
    <row r="264" spans="1:3" x14ac:dyDescent="0.25">
      <c r="C264" s="29"/>
    </row>
    <row r="265" spans="1:3" x14ac:dyDescent="0.25">
      <c r="C265" s="29"/>
    </row>
    <row r="266" spans="1:3" x14ac:dyDescent="0.25">
      <c r="C266" s="29"/>
    </row>
    <row r="267" spans="1:3" x14ac:dyDescent="0.25">
      <c r="C267" s="29"/>
    </row>
    <row r="268" spans="1:3" x14ac:dyDescent="0.25">
      <c r="C268" s="29"/>
    </row>
    <row r="269" spans="1:3" x14ac:dyDescent="0.25">
      <c r="C269" s="29"/>
    </row>
    <row r="270" spans="1:3" x14ac:dyDescent="0.25">
      <c r="C270" s="29"/>
    </row>
    <row r="271" spans="1:3" x14ac:dyDescent="0.25">
      <c r="C271" s="29"/>
    </row>
    <row r="272" spans="1:3" x14ac:dyDescent="0.25">
      <c r="C272" s="29"/>
    </row>
    <row r="273" spans="3:3" x14ac:dyDescent="0.25">
      <c r="C273" s="29"/>
    </row>
    <row r="274" spans="3:3" x14ac:dyDescent="0.25">
      <c r="C274" s="29"/>
    </row>
    <row r="275" spans="3:3" x14ac:dyDescent="0.25">
      <c r="C275" s="29"/>
    </row>
    <row r="276" spans="3:3" x14ac:dyDescent="0.25">
      <c r="C276" s="29"/>
    </row>
    <row r="277" spans="3:3" x14ac:dyDescent="0.25">
      <c r="C277" s="29"/>
    </row>
    <row r="278" spans="3:3" x14ac:dyDescent="0.25">
      <c r="C278" s="29"/>
    </row>
    <row r="279" spans="3:3" x14ac:dyDescent="0.25">
      <c r="C279" s="29"/>
    </row>
    <row r="280" spans="3:3" x14ac:dyDescent="0.25">
      <c r="C280" s="29"/>
    </row>
    <row r="281" spans="3:3" x14ac:dyDescent="0.25">
      <c r="C281" s="29"/>
    </row>
    <row r="282" spans="3:3" x14ac:dyDescent="0.25">
      <c r="C282" s="29"/>
    </row>
    <row r="283" spans="3:3" x14ac:dyDescent="0.25">
      <c r="C283" s="29"/>
    </row>
    <row r="284" spans="3:3" x14ac:dyDescent="0.25">
      <c r="C284" s="29"/>
    </row>
    <row r="285" spans="3:3" x14ac:dyDescent="0.25">
      <c r="C285" s="29"/>
    </row>
    <row r="286" spans="3:3" x14ac:dyDescent="0.25">
      <c r="C286" s="29"/>
    </row>
    <row r="287" spans="3:3" x14ac:dyDescent="0.25">
      <c r="C287" s="29"/>
    </row>
    <row r="288" spans="3:3" x14ac:dyDescent="0.25">
      <c r="C288" s="29"/>
    </row>
    <row r="289" spans="3:3" x14ac:dyDescent="0.25">
      <c r="C289" s="29"/>
    </row>
    <row r="290" spans="3:3" x14ac:dyDescent="0.25">
      <c r="C290" s="29"/>
    </row>
    <row r="291" spans="3:3" x14ac:dyDescent="0.25">
      <c r="C291" s="29"/>
    </row>
    <row r="292" spans="3:3" x14ac:dyDescent="0.25">
      <c r="C292" s="29"/>
    </row>
    <row r="293" spans="3:3" x14ac:dyDescent="0.25">
      <c r="C293" s="29"/>
    </row>
    <row r="294" spans="3:3" x14ac:dyDescent="0.25">
      <c r="C294" s="29"/>
    </row>
    <row r="295" spans="3:3" x14ac:dyDescent="0.25">
      <c r="C295" s="29"/>
    </row>
    <row r="296" spans="3:3" x14ac:dyDescent="0.25">
      <c r="C296" s="29"/>
    </row>
    <row r="297" spans="3:3" x14ac:dyDescent="0.25">
      <c r="C297" s="29"/>
    </row>
    <row r="298" spans="3:3" x14ac:dyDescent="0.25">
      <c r="C298" s="29"/>
    </row>
  </sheetData>
  <mergeCells count="3">
    <mergeCell ref="A1:F1"/>
    <mergeCell ref="A2:F2"/>
    <mergeCell ref="A3:F3"/>
  </mergeCells>
  <phoneticPr fontId="0" type="noConversion"/>
  <pageMargins left="0.75" right="0.75" top="1" bottom="1" header="0.5" footer="0.5"/>
  <pageSetup scale="43" orientation="portrait" horizontalDpi="300" r:id="rId1"/>
  <headerFooter alignWithMargins="0"/>
  <rowBreaks count="1" manualBreakCount="1">
    <brk id="84" max="9" man="1"/>
  </rowBreaks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I307"/>
  <sheetViews>
    <sheetView zoomScale="110" zoomScaleNormal="102" zoomScaleSheetLayoutView="75" workbookViewId="0">
      <pane xSplit="1" ySplit="7" topLeftCell="B126" activePane="bottomRight" state="frozen"/>
      <selection pane="topRight" activeCell="B1" sqref="B1"/>
      <selection pane="bottomLeft" activeCell="A10" sqref="A10"/>
      <selection pane="bottomRight" activeCell="G156" sqref="G156:I156"/>
    </sheetView>
  </sheetViews>
  <sheetFormatPr defaultColWidth="9.109375" defaultRowHeight="10.199999999999999" outlineLevelRow="1" x14ac:dyDescent="0.2"/>
  <cols>
    <col min="1" max="1" width="36" style="2" customWidth="1"/>
    <col min="2" max="6" width="18.6640625" style="1" customWidth="1"/>
    <col min="7" max="7" width="19.88671875" style="1" customWidth="1"/>
    <col min="8" max="8" width="23" style="1" customWidth="1"/>
    <col min="9" max="9" width="17.44140625" style="1" customWidth="1"/>
    <col min="10" max="16384" width="9.109375" style="1"/>
  </cols>
  <sheetData>
    <row r="1" spans="1:9" ht="15.6" x14ac:dyDescent="0.3">
      <c r="A1" s="602" t="s">
        <v>0</v>
      </c>
      <c r="B1" s="602"/>
      <c r="C1" s="602"/>
      <c r="D1" s="602"/>
      <c r="E1" s="602"/>
      <c r="F1" s="602"/>
    </row>
    <row r="2" spans="1:9" ht="15.6" x14ac:dyDescent="0.3">
      <c r="A2" s="602" t="s">
        <v>1</v>
      </c>
      <c r="B2" s="602"/>
      <c r="C2" s="602"/>
      <c r="D2" s="602"/>
      <c r="E2" s="602"/>
      <c r="F2" s="602"/>
    </row>
    <row r="3" spans="1:9" ht="15.6" x14ac:dyDescent="0.3">
      <c r="A3" s="602">
        <v>2007</v>
      </c>
      <c r="B3" s="602"/>
      <c r="C3" s="602"/>
      <c r="D3" s="602"/>
      <c r="E3" s="602"/>
      <c r="F3" s="602"/>
      <c r="H3" s="45"/>
    </row>
    <row r="4" spans="1:9" ht="12.75" customHeight="1" x14ac:dyDescent="0.2">
      <c r="B4" s="3"/>
      <c r="C4" s="3"/>
      <c r="D4" s="3"/>
      <c r="E4" s="3"/>
      <c r="F4" s="3"/>
      <c r="H4" s="46"/>
    </row>
    <row r="5" spans="1:9" s="7" customFormat="1" ht="12.75" customHeight="1" x14ac:dyDescent="0.25">
      <c r="A5" s="4"/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H5" s="38"/>
    </row>
    <row r="6" spans="1:9" s="10" customFormat="1" ht="12.75" customHeight="1" x14ac:dyDescent="0.25">
      <c r="A6" s="8"/>
      <c r="B6" s="9"/>
      <c r="C6" s="9"/>
      <c r="D6" s="9"/>
      <c r="E6" s="9"/>
      <c r="F6" s="9"/>
    </row>
    <row r="7" spans="1:9" s="10" customFormat="1" ht="12.75" customHeight="1" thickBot="1" x14ac:dyDescent="0.3">
      <c r="A7" s="11" t="s">
        <v>78</v>
      </c>
      <c r="B7" s="12">
        <f>'[19]2006 accrual template'!$D$88</f>
        <v>4165354777.6206446</v>
      </c>
      <c r="C7" s="12">
        <f>'[19]2006 accrual template'!$B$88</f>
        <v>336168140.75964916</v>
      </c>
      <c r="D7" s="12">
        <f>'[19]2006 accrual template'!$C$88</f>
        <v>135724057.14787039</v>
      </c>
      <c r="E7" s="12">
        <f>'[19]2006 accrual template'!$E$88</f>
        <v>40061458.815837801</v>
      </c>
      <c r="F7" s="12">
        <f>SUM(B7:E7)</f>
        <v>4677308434.3440018</v>
      </c>
      <c r="G7" s="13"/>
    </row>
    <row r="8" spans="1:9" s="10" customFormat="1" ht="12.75" customHeight="1" thickTop="1" x14ac:dyDescent="0.25">
      <c r="A8" s="8"/>
      <c r="B8" s="14"/>
      <c r="C8" s="14"/>
      <c r="E8" s="14"/>
      <c r="F8" s="14"/>
      <c r="G8" s="19" t="s">
        <v>32</v>
      </c>
      <c r="H8" s="19" t="s">
        <v>32</v>
      </c>
    </row>
    <row r="9" spans="1:9" s="10" customFormat="1" ht="12.75" customHeight="1" x14ac:dyDescent="0.25">
      <c r="A9" s="15" t="s">
        <v>7</v>
      </c>
      <c r="B9" s="14"/>
      <c r="C9" s="14"/>
      <c r="D9" s="14"/>
      <c r="E9" s="14"/>
      <c r="F9" s="14"/>
      <c r="G9" s="19" t="s">
        <v>44</v>
      </c>
      <c r="H9" s="20" t="s">
        <v>45</v>
      </c>
      <c r="I9" s="20" t="s">
        <v>46</v>
      </c>
    </row>
    <row r="10" spans="1:9" s="10" customFormat="1" ht="12.75" customHeight="1" x14ac:dyDescent="0.25">
      <c r="A10" s="8" t="s">
        <v>8</v>
      </c>
      <c r="B10" s="14">
        <f>'[11]AR Schd Jan 07'!B11</f>
        <v>150203628.25999999</v>
      </c>
      <c r="C10" s="14">
        <f>'[11]AR Schd Jan 07'!C11</f>
        <v>317537214.77999997</v>
      </c>
      <c r="D10" s="14">
        <f>'[11]AR Schd Jan 07'!D11</f>
        <v>55659546.979999997</v>
      </c>
      <c r="E10" s="14">
        <f>'[11]AR Schd Jan 07'!E11</f>
        <v>12581204.359999999</v>
      </c>
      <c r="F10" s="14">
        <f t="shared" ref="F10:F18" si="0">SUM(B10:E10)</f>
        <v>535981594.38</v>
      </c>
      <c r="G10" s="13"/>
      <c r="I10" s="20"/>
    </row>
    <row r="11" spans="1:9" s="10" customFormat="1" ht="12.75" customHeight="1" x14ac:dyDescent="0.25">
      <c r="A11" s="8" t="s">
        <v>9</v>
      </c>
      <c r="B11" s="14">
        <f>-'[11]TB Jan'!F148</f>
        <v>-17219.22</v>
      </c>
      <c r="C11" s="14">
        <f>-'[11]TB Jan'!F149</f>
        <v>-36361.980000000003</v>
      </c>
      <c r="D11" s="14">
        <f>-'[11]TB Jan'!F150</f>
        <v>-6378.29</v>
      </c>
      <c r="E11" s="14">
        <f>-'[11]TB Jan'!F151</f>
        <v>-1430.77</v>
      </c>
      <c r="F11" s="14">
        <f t="shared" si="0"/>
        <v>-61390.26</v>
      </c>
      <c r="G11" s="13">
        <f>'[19]2006 accrual template'!$F$62+F11</f>
        <v>534539.73</v>
      </c>
      <c r="H11" s="34">
        <f>-SUM('[11]TB Jan'!G148:G151)</f>
        <v>534539.7300000001</v>
      </c>
      <c r="I11" s="34">
        <f t="shared" ref="I11:I17" si="1">H11-G11</f>
        <v>0</v>
      </c>
    </row>
    <row r="12" spans="1:9" s="10" customFormat="1" ht="12.75" customHeight="1" x14ac:dyDescent="0.25">
      <c r="A12" s="8" t="s">
        <v>10</v>
      </c>
      <c r="B12" s="14">
        <f>-'[11]TB Jan'!F152</f>
        <v>24269.98</v>
      </c>
      <c r="C12" s="14">
        <f>-'[11]TB Jan'!F153</f>
        <v>51248.21</v>
      </c>
      <c r="D12" s="14">
        <f>-'[11]TB Jan'!F154</f>
        <v>8989.84</v>
      </c>
      <c r="E12" s="14">
        <f>-'[11]TB Jan'!F155</f>
        <v>2016.03</v>
      </c>
      <c r="F12" s="14">
        <f t="shared" si="0"/>
        <v>86524.06</v>
      </c>
      <c r="G12" s="13">
        <f>'[19]2006 accrual template'!$F$63+F12</f>
        <v>146425.15</v>
      </c>
      <c r="H12" s="34">
        <f>-SUM('[11]TB Jan'!G152:G155)</f>
        <v>146425.15</v>
      </c>
      <c r="I12" s="34">
        <f t="shared" si="1"/>
        <v>0</v>
      </c>
    </row>
    <row r="13" spans="1:9" s="10" customFormat="1" ht="12.75" customHeight="1" x14ac:dyDescent="0.25">
      <c r="A13" s="8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f t="shared" si="0"/>
        <v>0</v>
      </c>
      <c r="G13" s="13">
        <f>'[19]2006 accrual template'!$F$64+F13</f>
        <v>0</v>
      </c>
      <c r="H13" s="13">
        <v>0</v>
      </c>
      <c r="I13" s="34">
        <f t="shared" si="1"/>
        <v>0</v>
      </c>
    </row>
    <row r="14" spans="1:9" s="10" customFormat="1" ht="12.75" customHeight="1" x14ac:dyDescent="0.25">
      <c r="A14" s="8" t="s">
        <v>12</v>
      </c>
      <c r="B14" s="14">
        <f>-'[11]TB Jan'!F170</f>
        <v>-448958.64</v>
      </c>
      <c r="C14" s="14">
        <f>-'[11]TB Jan'!F171</f>
        <v>470618.6</v>
      </c>
      <c r="D14" s="14">
        <f>-'[11]TB Jan'!F172</f>
        <v>87400.59</v>
      </c>
      <c r="E14" s="14">
        <f>-'[11]TB Jan'!F173</f>
        <v>6642.11</v>
      </c>
      <c r="F14" s="14">
        <f t="shared" si="0"/>
        <v>115702.65999999996</v>
      </c>
      <c r="G14" s="13">
        <f>'[19]2006 accrual template'!$F$65+F14</f>
        <v>-6999725.29</v>
      </c>
      <c r="H14" s="13">
        <f>-SUM('[11]TB  Jan07 (adj)'!G170:G173)</f>
        <v>-11430018.16</v>
      </c>
      <c r="I14" s="34">
        <f t="shared" si="1"/>
        <v>-4430292.87</v>
      </c>
    </row>
    <row r="15" spans="1:9" s="10" customFormat="1" ht="12.75" customHeight="1" x14ac:dyDescent="0.25">
      <c r="A15" s="8" t="s">
        <v>13</v>
      </c>
      <c r="B15" s="14">
        <f>-'[11]TB Jan'!F161</f>
        <v>-128693061.95</v>
      </c>
      <c r="C15" s="14">
        <f>-'[11]TB Jan'!F162</f>
        <v>-345537833.29000002</v>
      </c>
      <c r="D15" s="14">
        <f>-'[11]TB Jan'!F163</f>
        <v>-64214223.829999998</v>
      </c>
      <c r="E15" s="14">
        <f>-'[11]TB Jan'!F164</f>
        <v>-1194770.56</v>
      </c>
      <c r="F15" s="14">
        <f t="shared" si="0"/>
        <v>-539639889.63</v>
      </c>
      <c r="G15" s="13">
        <f>'[19]2006 accrual template'!$F$66+F15</f>
        <v>-2280644337.6300001</v>
      </c>
      <c r="H15" s="13">
        <f>-SUM('[11]TB  Jan07 (adj)'!G161:G164)</f>
        <v>-2282973041.5900002</v>
      </c>
      <c r="I15" s="34">
        <f t="shared" si="1"/>
        <v>-2328703.9600000381</v>
      </c>
    </row>
    <row r="16" spans="1:9" s="10" customFormat="1" ht="12.75" customHeight="1" x14ac:dyDescent="0.25">
      <c r="A16" s="8" t="s">
        <v>14</v>
      </c>
      <c r="B16" s="14">
        <f>-'[11]TB Jan'!F166</f>
        <v>-5472139.5199999996</v>
      </c>
      <c r="C16" s="26">
        <f>-'[11]TB Jan'!F167</f>
        <v>-1316127</v>
      </c>
      <c r="D16" s="26">
        <f>-'[11]TB Jan'!F168</f>
        <v>-163824</v>
      </c>
      <c r="E16" s="26">
        <f>-'[11]TB Jan'!F169</f>
        <v>-404252</v>
      </c>
      <c r="F16" s="14">
        <f t="shared" si="0"/>
        <v>-7356342.5199999996</v>
      </c>
      <c r="G16" s="13">
        <f>'[19]2006 accrual template'!$F$67+F16</f>
        <v>-29371938</v>
      </c>
      <c r="H16" s="13">
        <f>-SUM('[11]TB  Jan07 (adj)'!G166:G169)</f>
        <v>-34577073.549999997</v>
      </c>
      <c r="I16" s="34">
        <f t="shared" si="1"/>
        <v>-5205135.549999997</v>
      </c>
    </row>
    <row r="17" spans="1:9" s="10" customFormat="1" ht="12.75" customHeight="1" x14ac:dyDescent="0.25">
      <c r="A17" s="8" t="s">
        <v>15</v>
      </c>
      <c r="B17" s="14">
        <f>-('[11]TB Jan'!F140+'[11]TB Jan'!F144)</f>
        <v>17217403.91</v>
      </c>
      <c r="C17" s="26">
        <f>-('[11]TB Jan'!F141+'[11]TB Jan'!F145)</f>
        <v>1916101.49</v>
      </c>
      <c r="D17" s="26">
        <f>-('[11]TB Jan'!F142+'[11]TB Jan'!F146)</f>
        <v>940030.24</v>
      </c>
      <c r="E17" s="26">
        <f>-('[11]TB Jan'!F143+'[11]TB Jan'!F147)</f>
        <v>230969.49</v>
      </c>
      <c r="F17" s="14">
        <f t="shared" si="0"/>
        <v>20304505.129999995</v>
      </c>
      <c r="G17" s="13">
        <f>'[19]2006 accrual template'!$F$68+F17</f>
        <v>81124907.709999993</v>
      </c>
      <c r="H17" s="13">
        <f>-SUM('[11]TB Jan'!G140:G147)</f>
        <v>81124907.709999993</v>
      </c>
      <c r="I17" s="34">
        <f t="shared" si="1"/>
        <v>0</v>
      </c>
    </row>
    <row r="18" spans="1:9" s="20" customFormat="1" ht="12.75" customHeight="1" thickBot="1" x14ac:dyDescent="0.3">
      <c r="A18" s="16" t="s">
        <v>16</v>
      </c>
      <c r="B18" s="17">
        <f>SUM(B7:B17)</f>
        <v>4198168700.4406438</v>
      </c>
      <c r="C18" s="35">
        <f>SUM(C7:C17)</f>
        <v>309253001.56964916</v>
      </c>
      <c r="D18" s="35">
        <f>SUM(D7:D17)</f>
        <v>128035598.67787039</v>
      </c>
      <c r="E18" s="35">
        <f>SUM(E7:E17)</f>
        <v>51281837.475837797</v>
      </c>
      <c r="F18" s="18">
        <f t="shared" si="0"/>
        <v>4686739138.1640015</v>
      </c>
      <c r="G18" s="19"/>
    </row>
    <row r="19" spans="1:9" s="10" customFormat="1" ht="12.75" customHeight="1" thickTop="1" x14ac:dyDescent="0.25">
      <c r="A19" s="8"/>
      <c r="B19" s="13"/>
      <c r="C19" s="24"/>
      <c r="D19" s="8"/>
      <c r="E19" s="8"/>
      <c r="F19" s="13"/>
      <c r="G19" s="19" t="s">
        <v>32</v>
      </c>
      <c r="H19" s="19" t="s">
        <v>32</v>
      </c>
    </row>
    <row r="20" spans="1:9" s="10" customFormat="1" ht="12.75" customHeight="1" x14ac:dyDescent="0.25">
      <c r="A20" s="15" t="s">
        <v>17</v>
      </c>
      <c r="B20" s="21"/>
      <c r="C20" s="36"/>
      <c r="D20" s="36"/>
      <c r="E20" s="36"/>
      <c r="F20" s="21"/>
      <c r="G20" s="19" t="s">
        <v>44</v>
      </c>
      <c r="H20" s="20" t="s">
        <v>45</v>
      </c>
      <c r="I20" s="20" t="s">
        <v>46</v>
      </c>
    </row>
    <row r="21" spans="1:9" s="10" customFormat="1" ht="12.75" customHeight="1" x14ac:dyDescent="0.25">
      <c r="A21" s="8" t="s">
        <v>8</v>
      </c>
      <c r="B21" s="14">
        <f>'[11]AR Schd Feb 07'!B11</f>
        <v>153634414.44</v>
      </c>
      <c r="C21" s="26">
        <f>'[11]AR Schd Feb 07'!C11</f>
        <v>324121745.32999998</v>
      </c>
      <c r="D21" s="26">
        <f>'[11]AR Schd Feb 07'!D11</f>
        <v>56935278.180000007</v>
      </c>
      <c r="E21" s="26">
        <f>'[11]AR Schd Feb 07'!E11</f>
        <v>12637713.299999999</v>
      </c>
      <c r="F21" s="14">
        <f t="shared" ref="F21:F29" si="2">SUM(B21:E21)</f>
        <v>547329151.25</v>
      </c>
      <c r="G21" s="13"/>
    </row>
    <row r="22" spans="1:9" s="10" customFormat="1" ht="12.75" customHeight="1" x14ac:dyDescent="0.25">
      <c r="A22" s="8" t="s">
        <v>9</v>
      </c>
      <c r="B22" s="13">
        <f>-'[11]TB Feb'!F146</f>
        <v>119799.45</v>
      </c>
      <c r="C22" s="24">
        <f>-'[11]TB Feb'!F147</f>
        <v>252965.08</v>
      </c>
      <c r="D22" s="24">
        <f>-'[11]TB Feb'!F148</f>
        <v>44374.77</v>
      </c>
      <c r="E22" s="24">
        <f>-'[11]TB Feb'!F149</f>
        <v>9950.82</v>
      </c>
      <c r="F22" s="14">
        <f t="shared" si="2"/>
        <v>427090.12</v>
      </c>
      <c r="G22" s="13">
        <f>'[19]2006 accrual template'!$F$62+F11+F22</f>
        <v>961629.85</v>
      </c>
      <c r="H22" s="34">
        <f>-SUM('[11]TB Feb'!G146:G149)</f>
        <v>961629.85</v>
      </c>
      <c r="I22" s="34">
        <f t="shared" ref="I22:I28" si="3">H22-G22</f>
        <v>0</v>
      </c>
    </row>
    <row r="23" spans="1:9" s="10" customFormat="1" ht="12.75" customHeight="1" x14ac:dyDescent="0.25">
      <c r="A23" s="8" t="s">
        <v>10</v>
      </c>
      <c r="B23" s="13">
        <f>-'[11]TB Feb'!F150</f>
        <v>-1763.52</v>
      </c>
      <c r="C23" s="24">
        <f>-'[11]TB Feb'!F151</f>
        <v>-3723.82</v>
      </c>
      <c r="D23" s="24">
        <f>-'[11]TB Feb'!F152</f>
        <v>-653.23</v>
      </c>
      <c r="E23" s="24">
        <f>-'[11]TB Feb'!F153</f>
        <v>-146.49</v>
      </c>
      <c r="F23" s="14">
        <f t="shared" si="2"/>
        <v>-6287.0599999999995</v>
      </c>
      <c r="G23" s="13">
        <f>'[19]2006 accrual template'!$F$63+F12+F23</f>
        <v>140138.09</v>
      </c>
      <c r="H23" s="34">
        <f>-SUM('[11]TB Feb'!G150:G153)</f>
        <v>140138.09</v>
      </c>
      <c r="I23" s="34">
        <f t="shared" si="3"/>
        <v>0</v>
      </c>
    </row>
    <row r="24" spans="1:9" s="10" customFormat="1" ht="12.75" customHeight="1" x14ac:dyDescent="0.25">
      <c r="A24" s="8" t="s">
        <v>11</v>
      </c>
      <c r="B24" s="13">
        <f>-'[11]TB Feb'!F154</f>
        <v>280.5</v>
      </c>
      <c r="C24" s="24">
        <f>-'[11]TB Feb'!F155</f>
        <v>592.29999999999995</v>
      </c>
      <c r="D24" s="24">
        <f>-'[11]TB Feb'!F156</f>
        <v>103.9</v>
      </c>
      <c r="E24" s="24">
        <f>-'[11]TB Feb'!F157</f>
        <v>23.3</v>
      </c>
      <c r="F24" s="14">
        <f t="shared" si="2"/>
        <v>999.99999999999989</v>
      </c>
      <c r="G24" s="13">
        <f>'[19]2006 accrual template'!$F$64+F13+F24</f>
        <v>999.99999999999989</v>
      </c>
      <c r="H24" s="34">
        <f>-SUM('[11]TB Feb'!G154:G157)</f>
        <v>999.99999999999989</v>
      </c>
      <c r="I24" s="34">
        <f t="shared" si="3"/>
        <v>0</v>
      </c>
    </row>
    <row r="25" spans="1:9" s="10" customFormat="1" ht="12.75" customHeight="1" x14ac:dyDescent="0.25">
      <c r="A25" s="8" t="s">
        <v>12</v>
      </c>
      <c r="B25" s="13">
        <f>-'[11]TB Feb'!F171</f>
        <v>-2594096.85</v>
      </c>
      <c r="C25" s="24">
        <f>-'[11]TB Feb'!F172</f>
        <v>1108491.3400000001</v>
      </c>
      <c r="D25" s="24">
        <f>-'[11]TB Feb'!F173</f>
        <v>-123748.72</v>
      </c>
      <c r="E25" s="24">
        <f>-'[11]TB Feb'!F174</f>
        <v>-33168.92</v>
      </c>
      <c r="F25" s="14">
        <f t="shared" si="2"/>
        <v>-1642523.15</v>
      </c>
      <c r="G25" s="13">
        <f>'[19]2006 accrual template'!$F$65+F14+F25</f>
        <v>-8642248.4399999995</v>
      </c>
      <c r="H25" s="34">
        <f>-SUM('[11]TB Feb'!G171:G174)</f>
        <v>-13072541.309999999</v>
      </c>
      <c r="I25" s="34">
        <f t="shared" si="3"/>
        <v>-4430292.8699999992</v>
      </c>
    </row>
    <row r="26" spans="1:9" s="10" customFormat="1" ht="12.75" customHeight="1" x14ac:dyDescent="0.25">
      <c r="A26" s="8" t="s">
        <v>13</v>
      </c>
      <c r="B26" s="13">
        <f>-'[11]TB Feb'!F162</f>
        <v>-111604091.69</v>
      </c>
      <c r="C26" s="24">
        <f>-'[11]TB Feb'!F163</f>
        <v>-343851950</v>
      </c>
      <c r="D26" s="24">
        <f>-'[11]TB Feb'!F164</f>
        <v>-68943219</v>
      </c>
      <c r="E26" s="24">
        <f>-'[11]TB Feb'!F165</f>
        <v>-3495945.47</v>
      </c>
      <c r="F26" s="14">
        <f t="shared" si="2"/>
        <v>-527895206.16000003</v>
      </c>
      <c r="G26" s="13">
        <f>'[19]2006 accrual template'!$F$66+F15+F26</f>
        <v>-2808539543.79</v>
      </c>
      <c r="H26" s="34">
        <f>-SUM('[11]TB Feb'!G162:G165)</f>
        <v>-2810868247.75</v>
      </c>
      <c r="I26" s="34">
        <f t="shared" si="3"/>
        <v>-2328703.9600000381</v>
      </c>
    </row>
    <row r="27" spans="1:9" s="10" customFormat="1" ht="12.75" customHeight="1" x14ac:dyDescent="0.25">
      <c r="A27" s="8" t="s">
        <v>14</v>
      </c>
      <c r="B27" s="13">
        <f>-'[11]TB Feb'!F167</f>
        <v>-5433837.3399999999</v>
      </c>
      <c r="C27" s="24">
        <f>-'[11]TB Feb'!F168</f>
        <v>-1316127</v>
      </c>
      <c r="D27" s="24">
        <f>-'[11]TB Feb'!F169</f>
        <v>-163824</v>
      </c>
      <c r="E27" s="24">
        <f>-'[11]TB Feb'!F170</f>
        <v>-404252</v>
      </c>
      <c r="F27" s="26">
        <f t="shared" si="2"/>
        <v>-7318040.3399999999</v>
      </c>
      <c r="G27" s="13">
        <f>'[19]2006 accrual template'!$F$67+F16+F27</f>
        <v>-36689978.340000004</v>
      </c>
      <c r="H27" s="34">
        <f>-SUM('[11]TB Feb'!G167:G170)</f>
        <v>-41895113.890000001</v>
      </c>
      <c r="I27" s="34">
        <f t="shared" si="3"/>
        <v>-5205135.549999997</v>
      </c>
    </row>
    <row r="28" spans="1:9" s="10" customFormat="1" ht="12.75" customHeight="1" x14ac:dyDescent="0.25">
      <c r="A28" s="8" t="s">
        <v>15</v>
      </c>
      <c r="B28" s="13">
        <f>-('[11]TB Feb'!F138+'[11]TB Feb'!F142)</f>
        <v>15715293.66</v>
      </c>
      <c r="C28" s="13">
        <f>-('[11]TB Feb'!F139+'[11]TB Feb'!F143)</f>
        <v>1536119.31</v>
      </c>
      <c r="D28" s="13">
        <f>-('[11]TB Feb'!F140+'[11]TB Feb'!F144)</f>
        <v>783994.53</v>
      </c>
      <c r="E28" s="13">
        <f>-('[11]TB Feb'!F141+'[11]TB Feb'!F145)</f>
        <v>235803.99</v>
      </c>
      <c r="F28" s="14">
        <f t="shared" si="2"/>
        <v>18271211.489999998</v>
      </c>
      <c r="G28" s="13">
        <f>'[19]2006 accrual template'!$F$68+F17+F28</f>
        <v>99396119.199999988</v>
      </c>
      <c r="H28" s="34">
        <f>-SUM('[11]TB Feb'!G138:G145)</f>
        <v>99396119.200000003</v>
      </c>
      <c r="I28" s="34">
        <f t="shared" si="3"/>
        <v>0</v>
      </c>
    </row>
    <row r="29" spans="1:9" s="20" customFormat="1" ht="12.75" customHeight="1" thickBot="1" x14ac:dyDescent="0.3">
      <c r="A29" s="16" t="s">
        <v>16</v>
      </c>
      <c r="B29" s="17">
        <f>SUM(B18:B28)</f>
        <v>4248004699.0906425</v>
      </c>
      <c r="C29" s="17">
        <f>SUM(C18:C28)</f>
        <v>291101114.10964912</v>
      </c>
      <c r="D29" s="17">
        <f>SUM(D18:D28)</f>
        <v>116567905.10787043</v>
      </c>
      <c r="E29" s="17">
        <f>SUM(E18:E28)</f>
        <v>60231816.005837791</v>
      </c>
      <c r="F29" s="18">
        <f t="shared" si="2"/>
        <v>4715905534.3139992</v>
      </c>
    </row>
    <row r="30" spans="1:9" s="10" customFormat="1" ht="12.75" customHeight="1" thickTop="1" x14ac:dyDescent="0.25">
      <c r="A30" s="8"/>
      <c r="B30" s="13"/>
      <c r="C30" s="13"/>
      <c r="F30" s="13"/>
      <c r="G30" s="19" t="s">
        <v>32</v>
      </c>
      <c r="H30" s="19" t="s">
        <v>32</v>
      </c>
    </row>
    <row r="31" spans="1:9" s="10" customFormat="1" ht="12.75" customHeight="1" x14ac:dyDescent="0.25">
      <c r="A31" s="15" t="s">
        <v>18</v>
      </c>
      <c r="B31" s="21"/>
      <c r="C31" s="21"/>
      <c r="D31" s="22"/>
      <c r="E31" s="22"/>
      <c r="F31" s="21"/>
      <c r="G31" s="19" t="s">
        <v>44</v>
      </c>
      <c r="H31" s="20" t="s">
        <v>45</v>
      </c>
      <c r="I31" s="20" t="s">
        <v>46</v>
      </c>
    </row>
    <row r="32" spans="1:9" s="10" customFormat="1" ht="12.75" customHeight="1" x14ac:dyDescent="0.25">
      <c r="A32" s="8" t="s">
        <v>8</v>
      </c>
      <c r="B32" s="14">
        <f>'[11]AR Schd Mar 07'!B11</f>
        <v>153468682.77000001</v>
      </c>
      <c r="C32" s="14">
        <f>'[11]AR Schd Mar 07'!C11</f>
        <v>323679224.09999996</v>
      </c>
      <c r="D32" s="14">
        <f>'[11]AR Schd Mar 07'!D11</f>
        <v>56860055.390000001</v>
      </c>
      <c r="E32" s="14">
        <f>'[11]AR Schd Mar 07'!E11</f>
        <v>12619547.040000001</v>
      </c>
      <c r="F32" s="14">
        <f t="shared" ref="F32:F40" si="4">SUM(B32:E32)</f>
        <v>546627509.29999995</v>
      </c>
    </row>
    <row r="33" spans="1:9" s="10" customFormat="1" ht="12.75" customHeight="1" x14ac:dyDescent="0.25">
      <c r="A33" s="8" t="s">
        <v>9</v>
      </c>
      <c r="B33" s="14">
        <f>-'[11]TB Mar'!F147</f>
        <v>53465.7</v>
      </c>
      <c r="C33" s="14">
        <f>-'[11]TB Mar'!F148</f>
        <v>112894.43</v>
      </c>
      <c r="D33" s="14">
        <f>-'[11]TB Mar'!F149</f>
        <v>19803.91</v>
      </c>
      <c r="E33" s="14">
        <f>-'[11]TB Mar'!F150</f>
        <v>4440.3500000000004</v>
      </c>
      <c r="F33" s="14">
        <f t="shared" si="4"/>
        <v>190604.39</v>
      </c>
      <c r="G33" s="13">
        <f>'[19]2006 accrual template'!$F$62+F11+F22+F33</f>
        <v>1152234.24</v>
      </c>
      <c r="H33" s="34">
        <f>-SUM('[11]TB Mar'!G147:G150)</f>
        <v>1152234.24</v>
      </c>
      <c r="I33" s="34">
        <f t="shared" ref="I33:I39" si="5">H33-G33</f>
        <v>0</v>
      </c>
    </row>
    <row r="34" spans="1:9" s="10" customFormat="1" ht="12.75" customHeight="1" x14ac:dyDescent="0.25">
      <c r="A34" s="8" t="s">
        <v>10</v>
      </c>
      <c r="B34" s="14">
        <f>-'[11]TB Mar'!F151</f>
        <v>-168.3</v>
      </c>
      <c r="C34" s="14">
        <f>-'[11]TB Mar'!F152</f>
        <v>-355.38</v>
      </c>
      <c r="D34" s="14">
        <f>-'[11]TB Mar'!F153</f>
        <v>-62.34</v>
      </c>
      <c r="E34" s="14">
        <f>-'[11]TB Mar'!F154</f>
        <v>-13.98</v>
      </c>
      <c r="F34" s="14">
        <f t="shared" si="4"/>
        <v>-600.00000000000011</v>
      </c>
      <c r="G34" s="13">
        <f>'[19]2006 accrual template'!$F$63+F12+F23+F34</f>
        <v>139538.09</v>
      </c>
      <c r="H34" s="34">
        <f>-SUM('[11]TB Mar'!G151:G154)</f>
        <v>139538.09000000003</v>
      </c>
      <c r="I34" s="34">
        <f t="shared" si="5"/>
        <v>0</v>
      </c>
    </row>
    <row r="35" spans="1:9" s="10" customFormat="1" ht="12.75" customHeight="1" x14ac:dyDescent="0.25">
      <c r="A35" s="8" t="s">
        <v>11</v>
      </c>
      <c r="B35" s="13">
        <f>-'[11]TB Mar'!F155</f>
        <v>0</v>
      </c>
      <c r="C35" s="13">
        <f>-'[11]TB Mar'!F156</f>
        <v>0</v>
      </c>
      <c r="D35" s="13">
        <f>-'[11]TB Mar'!F157</f>
        <v>0</v>
      </c>
      <c r="E35" s="13">
        <f>-'[11]TB Mar'!F158</f>
        <v>0</v>
      </c>
      <c r="F35" s="14">
        <f t="shared" si="4"/>
        <v>0</v>
      </c>
      <c r="G35" s="13">
        <f>'[19]2006 accrual template'!$F$64+F13+F24+F35</f>
        <v>999.99999999999989</v>
      </c>
      <c r="H35" s="34">
        <f>-SUM('[11]TB Mar'!G155:G158)</f>
        <v>999.99999999999989</v>
      </c>
      <c r="I35" s="34">
        <f t="shared" si="5"/>
        <v>0</v>
      </c>
    </row>
    <row r="36" spans="1:9" s="10" customFormat="1" ht="12.75" customHeight="1" x14ac:dyDescent="0.25">
      <c r="A36" s="8" t="s">
        <v>12</v>
      </c>
      <c r="B36" s="13">
        <f>-'[11]TB Mar'!F172</f>
        <v>-11543718.02</v>
      </c>
      <c r="C36" s="13">
        <f>-'[11]TB Mar'!F173</f>
        <v>-8227288.8099999996</v>
      </c>
      <c r="D36" s="13">
        <f>-'[11]TB Mar'!F174</f>
        <v>-202997.49</v>
      </c>
      <c r="E36" s="13">
        <f>-'[11]TB Mar'!F175</f>
        <v>28569.07</v>
      </c>
      <c r="F36" s="14">
        <f t="shared" si="4"/>
        <v>-19945435.249999996</v>
      </c>
      <c r="G36" s="13">
        <f>'[19]2006 accrual template'!$F$65+F14+F25+F36</f>
        <v>-28587683.689999998</v>
      </c>
      <c r="H36" s="34">
        <f>-SUM('[11]TB Mar'!G172:G175)</f>
        <v>-33017976.560000002</v>
      </c>
      <c r="I36" s="34">
        <f t="shared" si="5"/>
        <v>-4430292.8700000048</v>
      </c>
    </row>
    <row r="37" spans="1:9" s="10" customFormat="1" ht="12.75" customHeight="1" x14ac:dyDescent="0.25">
      <c r="A37" s="8" t="s">
        <v>13</v>
      </c>
      <c r="B37" s="13">
        <f>-'[11]TB Mar'!F163</f>
        <v>-142847880.84</v>
      </c>
      <c r="C37" s="13">
        <f>-'[11]TB Mar'!F164</f>
        <v>-356339302.42000002</v>
      </c>
      <c r="D37" s="13">
        <f>-'[11]TB Mar'!F165</f>
        <v>-67775607.599999994</v>
      </c>
      <c r="E37" s="13">
        <f>-'[11]TB Mar'!F166</f>
        <v>-4024964.48</v>
      </c>
      <c r="F37" s="14">
        <f t="shared" si="4"/>
        <v>-570987755.34000003</v>
      </c>
      <c r="G37" s="13">
        <f>'[19]2006 accrual template'!$F$66+F15+F26+F37</f>
        <v>-3379527299.1300001</v>
      </c>
      <c r="H37" s="34">
        <f>-SUM('[11]TB Mar'!G163:G166)</f>
        <v>-3381856003.0899997</v>
      </c>
      <c r="I37" s="34">
        <f t="shared" si="5"/>
        <v>-2328703.9599995613</v>
      </c>
    </row>
    <row r="38" spans="1:9" s="10" customFormat="1" ht="12.75" customHeight="1" x14ac:dyDescent="0.25">
      <c r="A38" s="8" t="s">
        <v>14</v>
      </c>
      <c r="B38" s="13">
        <f>-'[11]TB Mar'!F168</f>
        <v>-8126205</v>
      </c>
      <c r="C38" s="13">
        <f>-'[11]TB Mar'!F169</f>
        <v>-1972913</v>
      </c>
      <c r="D38" s="13">
        <f>-'[11]TB Mar'!F170</f>
        <v>-670403</v>
      </c>
      <c r="E38" s="13">
        <f>-'[11]TB Mar'!F171</f>
        <v>-431333</v>
      </c>
      <c r="F38" s="26">
        <f t="shared" si="4"/>
        <v>-11200854</v>
      </c>
      <c r="G38" s="13">
        <f>'[19]2006 accrual template'!$F$67+F16+F27+F38</f>
        <v>-47890832.340000004</v>
      </c>
      <c r="H38" s="34">
        <f>-SUM('[11]TB Mar'!G168:G171)</f>
        <v>-53095967.890000001</v>
      </c>
      <c r="I38" s="34">
        <f t="shared" si="5"/>
        <v>-5205135.549999997</v>
      </c>
    </row>
    <row r="39" spans="1:9" s="10" customFormat="1" ht="12.75" customHeight="1" x14ac:dyDescent="0.25">
      <c r="A39" s="8" t="s">
        <v>15</v>
      </c>
      <c r="B39" s="34">
        <f>-'[11]TB Mar'!F139-'[11]TB Mar'!F143</f>
        <v>17844912.699999999</v>
      </c>
      <c r="C39" s="13">
        <f>-'[11]TB Mar'!F140-'[11]TB Mar'!F144</f>
        <v>1512130.6600000001</v>
      </c>
      <c r="D39" s="34">
        <f>-'[11]TB Mar'!F141-'[11]TB Mar'!F145</f>
        <v>901774.23</v>
      </c>
      <c r="E39" s="34">
        <f>-'[11]TB Mar'!F142-'[11]TB Mar'!F146</f>
        <v>245668.88</v>
      </c>
      <c r="F39" s="14">
        <f t="shared" si="4"/>
        <v>20504486.469999999</v>
      </c>
      <c r="G39" s="13">
        <f>'[19]2006 accrual template'!$F$68+F17+F28+F39</f>
        <v>119900605.66999999</v>
      </c>
      <c r="H39" s="34">
        <f>-SUM('[11]TB Mar'!G139:G146)</f>
        <v>119900605.67</v>
      </c>
      <c r="I39" s="34">
        <f t="shared" si="5"/>
        <v>0</v>
      </c>
    </row>
    <row r="40" spans="1:9" s="20" customFormat="1" ht="12.75" customHeight="1" thickBot="1" x14ac:dyDescent="0.3">
      <c r="A40" s="16" t="s">
        <v>16</v>
      </c>
      <c r="B40" s="17">
        <f>SUM(B29:B39)</f>
        <v>4256853788.1006413</v>
      </c>
      <c r="C40" s="17">
        <f>SUM(C29:C39)</f>
        <v>249865503.68964908</v>
      </c>
      <c r="D40" s="17">
        <f>SUM(D29:D39)</f>
        <v>105700468.20787044</v>
      </c>
      <c r="E40" s="17">
        <f>SUM(E29:E39)</f>
        <v>68673729.885837764</v>
      </c>
      <c r="F40" s="18">
        <f t="shared" si="4"/>
        <v>4681093489.8839979</v>
      </c>
      <c r="G40" s="19"/>
    </row>
    <row r="41" spans="1:9" s="10" customFormat="1" ht="12.75" customHeight="1" thickTop="1" x14ac:dyDescent="0.25">
      <c r="A41" s="8"/>
      <c r="B41" s="13"/>
      <c r="C41" s="13"/>
      <c r="D41" s="23"/>
      <c r="E41" s="23"/>
      <c r="F41" s="13"/>
      <c r="G41" s="19" t="s">
        <v>32</v>
      </c>
      <c r="H41" s="19" t="s">
        <v>32</v>
      </c>
    </row>
    <row r="42" spans="1:9" s="10" customFormat="1" ht="12.75" customHeight="1" x14ac:dyDescent="0.25">
      <c r="A42" s="15" t="s">
        <v>19</v>
      </c>
      <c r="B42" s="21"/>
      <c r="C42" s="21"/>
      <c r="D42" s="22"/>
      <c r="E42" s="22"/>
      <c r="F42" s="21"/>
      <c r="G42" s="19" t="s">
        <v>44</v>
      </c>
      <c r="H42" s="20" t="s">
        <v>45</v>
      </c>
      <c r="I42" s="20" t="s">
        <v>46</v>
      </c>
    </row>
    <row r="43" spans="1:9" s="10" customFormat="1" ht="12.75" customHeight="1" x14ac:dyDescent="0.25">
      <c r="A43" s="8" t="s">
        <v>8</v>
      </c>
      <c r="B43" s="14">
        <f>'[11]AR Schd Apr 07'!B11</f>
        <v>171121963.24000001</v>
      </c>
      <c r="C43" s="14">
        <f>'[11]AR Schd Apr 07'!C11</f>
        <v>369863357.23000002</v>
      </c>
      <c r="D43" s="14">
        <f>'[11]AR Schd Apr 07'!D11</f>
        <v>66771367.769999988</v>
      </c>
      <c r="E43" s="14">
        <f>'[11]AR Schd Apr 07'!E11</f>
        <v>14282749.73</v>
      </c>
      <c r="F43" s="14">
        <f t="shared" ref="F43:F51" si="6">SUM(B43:E43)</f>
        <v>622039437.97000003</v>
      </c>
      <c r="G43" s="13"/>
    </row>
    <row r="44" spans="1:9" s="10" customFormat="1" ht="12.75" customHeight="1" x14ac:dyDescent="0.25">
      <c r="A44" s="8" t="s">
        <v>9</v>
      </c>
      <c r="B44" s="14">
        <f>-'[11]TB Apr'!F147</f>
        <v>26014.28</v>
      </c>
      <c r="C44" s="14">
        <f>-'[11]TB Apr'!F148</f>
        <v>56147.87</v>
      </c>
      <c r="D44" s="14">
        <f>-'[11]TB Apr'!F149</f>
        <v>10144.51</v>
      </c>
      <c r="E44" s="14">
        <f>-'[11]TB Apr'!F150</f>
        <v>2155.8200000000002</v>
      </c>
      <c r="F44" s="14">
        <f t="shared" si="6"/>
        <v>94462.48</v>
      </c>
      <c r="G44" s="13">
        <f t="shared" ref="G44:G50" si="7">G33+F44</f>
        <v>1246696.72</v>
      </c>
      <c r="H44" s="34">
        <f>-SUM('[11]TB Apr'!G147:G150)</f>
        <v>1246696.72</v>
      </c>
      <c r="I44" s="34">
        <f t="shared" ref="I44:I50" si="8">H44-G44</f>
        <v>0</v>
      </c>
    </row>
    <row r="45" spans="1:9" s="10" customFormat="1" ht="12.75" customHeight="1" x14ac:dyDescent="0.25">
      <c r="A45" s="8" t="s">
        <v>10</v>
      </c>
      <c r="B45" s="14">
        <f>-'[11]TB Apr'!F151</f>
        <v>47450.39</v>
      </c>
      <c r="C45" s="14">
        <f>-'[11]TB Apr'!F152</f>
        <v>102413.04</v>
      </c>
      <c r="D45" s="14">
        <f>-'[11]TB Apr'!F153</f>
        <v>18504.650000000001</v>
      </c>
      <c r="E45" s="14">
        <f>-'[11]TB Apr'!F154</f>
        <v>3928.33</v>
      </c>
      <c r="F45" s="14">
        <f t="shared" si="6"/>
        <v>172296.40999999997</v>
      </c>
      <c r="G45" s="13">
        <f t="shared" si="7"/>
        <v>311834.5</v>
      </c>
      <c r="H45" s="34">
        <f>-SUM('[11]TB Apr'!G151:G154)</f>
        <v>311834.50000000006</v>
      </c>
      <c r="I45" s="34">
        <f t="shared" si="8"/>
        <v>0</v>
      </c>
    </row>
    <row r="46" spans="1:9" s="10" customFormat="1" ht="12.75" customHeight="1" x14ac:dyDescent="0.25">
      <c r="A46" s="8" t="s">
        <v>11</v>
      </c>
      <c r="B46" s="13">
        <f>-'[11]TB Apr'!F155</f>
        <v>0</v>
      </c>
      <c r="C46" s="13">
        <f>-'[11]TB Apr'!F156-'[11]TB Apr'!F164</f>
        <v>1000</v>
      </c>
      <c r="D46" s="13">
        <f>-'[11]TB Apr'!F157</f>
        <v>0</v>
      </c>
      <c r="E46" s="13">
        <f>-'[11]TB Apr'!F158</f>
        <v>0</v>
      </c>
      <c r="F46" s="14">
        <f t="shared" si="6"/>
        <v>1000</v>
      </c>
      <c r="G46" s="13">
        <f t="shared" si="7"/>
        <v>2000</v>
      </c>
      <c r="H46" s="34">
        <f>-SUM('[11]TB Apr'!G155:G158)-'[11]TB Apr'!G164</f>
        <v>2000</v>
      </c>
      <c r="I46" s="34">
        <f t="shared" si="8"/>
        <v>0</v>
      </c>
    </row>
    <row r="47" spans="1:9" s="10" customFormat="1" ht="12.75" customHeight="1" x14ac:dyDescent="0.25">
      <c r="A47" s="8" t="s">
        <v>12</v>
      </c>
      <c r="B47" s="13">
        <f>-'[11]TB Apr'!F174</f>
        <v>-1527217.98</v>
      </c>
      <c r="C47" s="13">
        <f>-'[11]TB Apr'!F175</f>
        <v>-4944232.57</v>
      </c>
      <c r="D47" s="13">
        <f>-'[11]TB Apr'!F176</f>
        <v>-865849.44</v>
      </c>
      <c r="E47" s="13">
        <f>-'[11]TB Apr'!F177</f>
        <v>-190772.87</v>
      </c>
      <c r="F47" s="14">
        <f t="shared" si="6"/>
        <v>-7528072.8600000003</v>
      </c>
      <c r="G47" s="13">
        <f t="shared" si="7"/>
        <v>-36115756.549999997</v>
      </c>
      <c r="H47" s="34">
        <f>-SUM('[11]TB Apr'!G174:G177)</f>
        <v>-40546049.420000002</v>
      </c>
      <c r="I47" s="37">
        <f t="shared" si="8"/>
        <v>-4430292.8700000048</v>
      </c>
    </row>
    <row r="48" spans="1:9" s="10" customFormat="1" ht="12.75" customHeight="1" x14ac:dyDescent="0.25">
      <c r="A48" s="8" t="s">
        <v>13</v>
      </c>
      <c r="B48" s="13">
        <f>-'[11]TB Apr'!F165</f>
        <v>-148863811.28</v>
      </c>
      <c r="C48" s="13">
        <f>-'[11]TB Apr'!F166</f>
        <v>-351360816.29000002</v>
      </c>
      <c r="D48" s="13">
        <f>-'[11]TB Apr'!F167</f>
        <v>-67402896.180000007</v>
      </c>
      <c r="E48" s="13">
        <f>-'[11]TB Apr'!F168</f>
        <v>-3179417.7</v>
      </c>
      <c r="F48" s="14">
        <f t="shared" si="6"/>
        <v>-570806941.45000005</v>
      </c>
      <c r="G48" s="13">
        <f t="shared" si="7"/>
        <v>-3950334240.5799999</v>
      </c>
      <c r="H48" s="34">
        <f>-SUM('[11]TB Apr'!G165:G168)</f>
        <v>-3952662944.5400009</v>
      </c>
      <c r="I48" s="34">
        <f t="shared" si="8"/>
        <v>-2328703.9600009918</v>
      </c>
    </row>
    <row r="49" spans="1:9" s="10" customFormat="1" ht="12.75" customHeight="1" x14ac:dyDescent="0.25">
      <c r="A49" s="8" t="s">
        <v>14</v>
      </c>
      <c r="B49" s="23">
        <f>-'[11]TB Apr'!F170</f>
        <v>-6894404.46</v>
      </c>
      <c r="C49" s="13">
        <f>-'[11]TB Apr'!F171</f>
        <v>-3190364.27</v>
      </c>
      <c r="D49" s="23">
        <f>-'[11]TB Apr'!F172</f>
        <v>-1456645.45</v>
      </c>
      <c r="E49" s="23">
        <f>-'[11]TB Apr'!F173</f>
        <v>-1177387.22</v>
      </c>
      <c r="F49" s="26">
        <f t="shared" si="6"/>
        <v>-12718801.4</v>
      </c>
      <c r="G49" s="13">
        <f t="shared" si="7"/>
        <v>-60609633.740000002</v>
      </c>
      <c r="H49" s="34">
        <f>-SUM('[11]TB Apr'!G170:G173)</f>
        <v>-65814769.290000007</v>
      </c>
      <c r="I49" s="34">
        <f t="shared" si="8"/>
        <v>-5205135.5500000045</v>
      </c>
    </row>
    <row r="50" spans="1:9" s="10" customFormat="1" ht="12.75" customHeight="1" x14ac:dyDescent="0.25">
      <c r="A50" s="8" t="s">
        <v>15</v>
      </c>
      <c r="B50" s="23">
        <f>-'[11]TB Apr'!F139-'[11]TB Apr'!F143</f>
        <v>16303617.119999999</v>
      </c>
      <c r="C50" s="13">
        <f>-'[11]TB Apr'!F140-'[11]TB Apr'!F144</f>
        <v>2226436.2799999998</v>
      </c>
      <c r="D50" s="23">
        <f>-'[11]TB Apr'!F141-'[11]TB Apr'!F145</f>
        <v>983822.3</v>
      </c>
      <c r="E50" s="23">
        <f>-'[11]TB Apr'!F142-'[11]TB Apr'!F146</f>
        <v>224297.06999999998</v>
      </c>
      <c r="F50" s="14">
        <f t="shared" si="6"/>
        <v>19738172.77</v>
      </c>
      <c r="G50" s="13">
        <f t="shared" si="7"/>
        <v>139638778.44</v>
      </c>
      <c r="H50" s="34">
        <f>-SUM('[11]TB Apr'!G139:G146)</f>
        <v>139638778.44</v>
      </c>
      <c r="I50" s="34">
        <f t="shared" si="8"/>
        <v>0</v>
      </c>
    </row>
    <row r="51" spans="1:9" s="20" customFormat="1" ht="12.75" customHeight="1" thickBot="1" x14ac:dyDescent="0.3">
      <c r="A51" s="16" t="s">
        <v>16</v>
      </c>
      <c r="B51" s="17">
        <f>SUM(B40:B50)</f>
        <v>4287067399.4106412</v>
      </c>
      <c r="C51" s="17">
        <f>SUM(C40:C50)</f>
        <v>262619444.97964901</v>
      </c>
      <c r="D51" s="17">
        <f>SUM(D40:D50)</f>
        <v>103758916.36787042</v>
      </c>
      <c r="E51" s="17">
        <f>SUM(E40:E50)</f>
        <v>78639283.045837745</v>
      </c>
      <c r="F51" s="18">
        <f t="shared" si="6"/>
        <v>4732085043.803998</v>
      </c>
      <c r="G51" s="19"/>
    </row>
    <row r="52" spans="1:9" s="10" customFormat="1" ht="12.75" customHeight="1" thickTop="1" x14ac:dyDescent="0.25">
      <c r="A52" s="8"/>
      <c r="B52" s="13"/>
      <c r="C52" s="13"/>
      <c r="F52" s="13"/>
      <c r="G52" s="19" t="s">
        <v>32</v>
      </c>
      <c r="H52" s="19" t="s">
        <v>32</v>
      </c>
    </row>
    <row r="53" spans="1:9" s="10" customFormat="1" ht="12.75" customHeight="1" x14ac:dyDescent="0.25">
      <c r="A53" s="15" t="s">
        <v>20</v>
      </c>
      <c r="B53" s="21"/>
      <c r="C53" s="21"/>
      <c r="D53" s="22"/>
      <c r="E53" s="22"/>
      <c r="F53" s="21"/>
      <c r="G53" s="19" t="s">
        <v>44</v>
      </c>
      <c r="H53" s="20" t="s">
        <v>45</v>
      </c>
      <c r="I53" s="20" t="s">
        <v>46</v>
      </c>
    </row>
    <row r="54" spans="1:9" s="10" customFormat="1" ht="12.75" customHeight="1" x14ac:dyDescent="0.25">
      <c r="A54" s="8" t="s">
        <v>8</v>
      </c>
      <c r="B54" s="14">
        <f>'[11]AR Schd May 07'!B11</f>
        <v>168256679.56999999</v>
      </c>
      <c r="C54" s="14">
        <f>'[11]AR Schd May 07'!C11</f>
        <v>364280321.85000002</v>
      </c>
      <c r="D54" s="14">
        <f>'[11]AR Schd May 07'!D11</f>
        <v>65711996.720000006</v>
      </c>
      <c r="E54" s="14">
        <f>'[11]AR Schd May 07'!E11</f>
        <v>14220933.859999999</v>
      </c>
      <c r="F54" s="14">
        <f t="shared" ref="F54:F62" si="9">SUM(B54:E54)</f>
        <v>612469932</v>
      </c>
      <c r="G54" s="13"/>
      <c r="H54" s="34"/>
      <c r="I54" s="34"/>
    </row>
    <row r="55" spans="1:9" s="10" customFormat="1" ht="12.75" customHeight="1" x14ac:dyDescent="0.25">
      <c r="A55" s="8" t="s">
        <v>9</v>
      </c>
      <c r="B55" s="14">
        <f>-'[11]TB May'!F147</f>
        <v>46814.18</v>
      </c>
      <c r="C55" s="14">
        <f>-'[11]TB May'!F148</f>
        <v>101040.51</v>
      </c>
      <c r="D55" s="14">
        <f>-'[11]TB May'!F149</f>
        <v>18256.32</v>
      </c>
      <c r="E55" s="14">
        <f>-'[11]TB May'!F150</f>
        <v>3877.04</v>
      </c>
      <c r="F55" s="14">
        <f t="shared" si="9"/>
        <v>169988.05000000002</v>
      </c>
      <c r="G55" s="13">
        <f t="shared" ref="G55:G61" si="10">G44+F55</f>
        <v>1416684.77</v>
      </c>
      <c r="H55" s="34">
        <f>-SUM('[11]TB May'!G147:G150)</f>
        <v>1416684.7699999998</v>
      </c>
      <c r="I55" s="34">
        <f t="shared" ref="I55:I61" si="11">H55-G55</f>
        <v>0</v>
      </c>
    </row>
    <row r="56" spans="1:9" s="10" customFormat="1" ht="12.75" customHeight="1" x14ac:dyDescent="0.25">
      <c r="A56" s="8" t="s">
        <v>10</v>
      </c>
      <c r="B56" s="14">
        <f>-'[11]TB May'!F151</f>
        <v>-12345.57</v>
      </c>
      <c r="C56" s="14">
        <f>-'[11]TB May'!F152</f>
        <v>-26645.64</v>
      </c>
      <c r="D56" s="14">
        <f>-'[11]TB May'!F153</f>
        <v>-4814.51</v>
      </c>
      <c r="E56" s="14">
        <f>-'[11]TB May'!F154</f>
        <v>-1022.07</v>
      </c>
      <c r="F56" s="14">
        <f t="shared" si="9"/>
        <v>-44827.79</v>
      </c>
      <c r="G56" s="13">
        <f t="shared" si="10"/>
        <v>267006.71000000002</v>
      </c>
      <c r="H56" s="34">
        <f>-SUM('[11]TB May'!G151:G154)</f>
        <v>267006.71000000002</v>
      </c>
      <c r="I56" s="34">
        <f t="shared" si="11"/>
        <v>0</v>
      </c>
    </row>
    <row r="57" spans="1:9" s="10" customFormat="1" ht="12.75" customHeight="1" x14ac:dyDescent="0.25">
      <c r="A57" s="8" t="s">
        <v>11</v>
      </c>
      <c r="B57" s="13">
        <f>-'[11]TB May'!F155+'[11]TB May'!F164</f>
        <v>0</v>
      </c>
      <c r="C57" s="13">
        <f>-'[11]TB May'!F156</f>
        <v>0</v>
      </c>
      <c r="D57" s="13">
        <f>-'[11]TB May'!F157</f>
        <v>0</v>
      </c>
      <c r="E57" s="13">
        <f>-'[11]TB May'!F158</f>
        <v>0</v>
      </c>
      <c r="F57" s="14">
        <f t="shared" si="9"/>
        <v>0</v>
      </c>
      <c r="G57" s="13">
        <f t="shared" si="10"/>
        <v>2000</v>
      </c>
      <c r="H57" s="34">
        <f>-SUM('[11]TB May'!G155:G158)-'[11]TB May'!G164</f>
        <v>2000</v>
      </c>
      <c r="I57" s="34">
        <f t="shared" si="11"/>
        <v>0</v>
      </c>
    </row>
    <row r="58" spans="1:9" s="10" customFormat="1" ht="12.75" customHeight="1" x14ac:dyDescent="0.25">
      <c r="A58" s="8" t="s">
        <v>12</v>
      </c>
      <c r="B58" s="13">
        <f>-'[11]TB May'!F174</f>
        <v>-819388.23</v>
      </c>
      <c r="C58" s="13">
        <f>-'[11]TB May'!F175</f>
        <v>-3503701.36</v>
      </c>
      <c r="D58" s="13">
        <f>-'[11]TB May'!F176</f>
        <v>-288.01</v>
      </c>
      <c r="E58" s="13">
        <f>-'[11]TB May'!F177</f>
        <v>-1859.18</v>
      </c>
      <c r="F58" s="14">
        <f t="shared" si="9"/>
        <v>-4325236.7799999993</v>
      </c>
      <c r="G58" s="13">
        <f t="shared" si="10"/>
        <v>-40440993.329999998</v>
      </c>
      <c r="H58" s="34">
        <f>-SUM('[11]TB May'!G174:G177)</f>
        <v>-44871286.200000003</v>
      </c>
      <c r="I58" s="34">
        <f t="shared" si="11"/>
        <v>-4430292.8700000048</v>
      </c>
    </row>
    <row r="59" spans="1:9" s="10" customFormat="1" ht="12.75" customHeight="1" x14ac:dyDescent="0.25">
      <c r="A59" s="8" t="s">
        <v>13</v>
      </c>
      <c r="B59" s="13">
        <f>-'[11]TB May'!F165</f>
        <v>-160958722.22999999</v>
      </c>
      <c r="C59" s="13">
        <f>-'[11]TB May'!F166</f>
        <v>-313460851.64999998</v>
      </c>
      <c r="D59" s="13">
        <f>-'[11]TB May'!F167</f>
        <v>-68919441.469999999</v>
      </c>
      <c r="E59" s="13">
        <f>-'[11]TB May'!F168</f>
        <v>-3099028.34</v>
      </c>
      <c r="F59" s="14">
        <f t="shared" si="9"/>
        <v>-546438043.69000006</v>
      </c>
      <c r="G59" s="13">
        <f t="shared" si="10"/>
        <v>-4496772284.2700005</v>
      </c>
      <c r="H59" s="34">
        <f>-SUM('[11]TB May'!G165:G168)</f>
        <v>-4499100988.2300005</v>
      </c>
      <c r="I59" s="37">
        <f t="shared" si="11"/>
        <v>-2328703.9600000381</v>
      </c>
    </row>
    <row r="60" spans="1:9" s="10" customFormat="1" ht="12.75" customHeight="1" x14ac:dyDescent="0.25">
      <c r="A60" s="8" t="s">
        <v>14</v>
      </c>
      <c r="B60" s="23">
        <f>-'[11]TB May'!F170</f>
        <v>-4947388.22</v>
      </c>
      <c r="C60" s="23">
        <f>-'[11]TB May'!F171</f>
        <v>-2130125</v>
      </c>
      <c r="D60" s="23">
        <f>-'[11]TB May'!F172</f>
        <v>-712047</v>
      </c>
      <c r="E60" s="23">
        <f>-'[11]TB May'!F173</f>
        <v>-447791</v>
      </c>
      <c r="F60" s="26">
        <f t="shared" si="9"/>
        <v>-8237351.2199999997</v>
      </c>
      <c r="G60" s="13">
        <f t="shared" si="10"/>
        <v>-68846984.960000008</v>
      </c>
      <c r="H60" s="34">
        <f>-SUM('[11]TB May'!G170:G173)</f>
        <v>-74052120.510000005</v>
      </c>
      <c r="I60" s="34">
        <f t="shared" si="11"/>
        <v>-5205135.549999997</v>
      </c>
    </row>
    <row r="61" spans="1:9" s="10" customFormat="1" ht="12.75" customHeight="1" x14ac:dyDescent="0.25">
      <c r="A61" s="8" t="s">
        <v>15</v>
      </c>
      <c r="B61" s="23">
        <f>-'[11]TB May'!F139-'[11]TB May'!F143</f>
        <v>18212022.09</v>
      </c>
      <c r="C61" s="23">
        <f>-'[11]TB May'!F140-'[11]TB May'!F144</f>
        <v>1110274.5900000001</v>
      </c>
      <c r="D61" s="23">
        <f>-'[11]TB May'!F141-'[11]TB May'!F145</f>
        <v>795021.47</v>
      </c>
      <c r="E61" s="23">
        <f>-'[11]TB May'!F142-'[11]TB May'!F146</f>
        <v>320236.53000000003</v>
      </c>
      <c r="F61" s="14">
        <f t="shared" si="9"/>
        <v>20437554.68</v>
      </c>
      <c r="G61" s="13">
        <f t="shared" si="10"/>
        <v>160076333.12</v>
      </c>
      <c r="H61" s="34">
        <f>-SUM('[11]TB May'!G139:G146)</f>
        <v>160076333.12</v>
      </c>
      <c r="I61" s="34">
        <f t="shared" si="11"/>
        <v>0</v>
      </c>
    </row>
    <row r="62" spans="1:9" s="20" customFormat="1" ht="12.75" customHeight="1" thickBot="1" x14ac:dyDescent="0.3">
      <c r="A62" s="16" t="s">
        <v>16</v>
      </c>
      <c r="B62" s="17">
        <f>SUM(B51:B61)</f>
        <v>4306845071.0006428</v>
      </c>
      <c r="C62" s="17">
        <f>SUM(C51:C61)</f>
        <v>308989758.27964896</v>
      </c>
      <c r="D62" s="17">
        <f>SUM(D51:D61)</f>
        <v>100647599.88787043</v>
      </c>
      <c r="E62" s="17">
        <f>SUM(E51:E61)</f>
        <v>89634629.885837749</v>
      </c>
      <c r="F62" s="18">
        <f t="shared" si="9"/>
        <v>4806117059.0539999</v>
      </c>
      <c r="G62" s="19"/>
      <c r="I62" s="34"/>
    </row>
    <row r="63" spans="1:9" s="10" customFormat="1" ht="12.75" customHeight="1" thickTop="1" x14ac:dyDescent="0.25">
      <c r="A63" s="8"/>
      <c r="F63" s="13"/>
      <c r="G63" s="19" t="s">
        <v>32</v>
      </c>
      <c r="H63" s="19" t="s">
        <v>32</v>
      </c>
    </row>
    <row r="64" spans="1:9" s="10" customFormat="1" ht="12.75" customHeight="1" x14ac:dyDescent="0.25">
      <c r="A64" s="15" t="s">
        <v>21</v>
      </c>
      <c r="B64" s="22"/>
      <c r="C64" s="22"/>
      <c r="D64" s="22"/>
      <c r="E64" s="22"/>
      <c r="F64" s="21"/>
      <c r="G64" s="19" t="s">
        <v>44</v>
      </c>
      <c r="H64" s="20" t="s">
        <v>45</v>
      </c>
      <c r="I64" s="20" t="s">
        <v>46</v>
      </c>
    </row>
    <row r="65" spans="1:9" s="10" customFormat="1" ht="12.75" customHeight="1" x14ac:dyDescent="0.25">
      <c r="A65" s="8" t="s">
        <v>8</v>
      </c>
      <c r="B65" s="14">
        <f>'[11]AR Schd June 07'!B11</f>
        <v>168130247.16999999</v>
      </c>
      <c r="C65" s="14">
        <f>'[11]AR Schd June 07'!C11</f>
        <v>364040983.38</v>
      </c>
      <c r="D65" s="14">
        <f>'[11]AR Schd June 07'!D11</f>
        <v>65660498.029999994</v>
      </c>
      <c r="E65" s="14">
        <f>'[11]AR Schd June 07'!E11</f>
        <v>14217014.210000001</v>
      </c>
      <c r="F65" s="14">
        <f t="shared" ref="F65:F78" si="12">SUM(B65:E65)</f>
        <v>612048742.78999996</v>
      </c>
      <c r="G65" s="13"/>
    </row>
    <row r="66" spans="1:9" s="10" customFormat="1" ht="12.75" customHeight="1" x14ac:dyDescent="0.25">
      <c r="A66" s="8" t="s">
        <v>9</v>
      </c>
      <c r="B66" s="13">
        <f>-'[11]TB Jun'!F147</f>
        <v>50758.09</v>
      </c>
      <c r="C66" s="13">
        <f>-'[11]TB Jun'!F148</f>
        <v>109552.74</v>
      </c>
      <c r="D66" s="13">
        <f>-'[11]TB Jun'!F149</f>
        <v>19794.310000000001</v>
      </c>
      <c r="E66" s="13">
        <f>-'[11]TB Jun'!F150</f>
        <v>4203.67</v>
      </c>
      <c r="F66" s="14">
        <f t="shared" si="12"/>
        <v>184308.81000000003</v>
      </c>
      <c r="G66" s="13">
        <f>F66+G55</f>
        <v>1600993.58</v>
      </c>
      <c r="H66" s="34">
        <f>-SUM('[11]TB Jun'!G147:G150)</f>
        <v>1600993.5799999998</v>
      </c>
      <c r="I66" s="34">
        <f>H66-G66</f>
        <v>0</v>
      </c>
    </row>
    <row r="67" spans="1:9" s="10" customFormat="1" ht="12.75" customHeight="1" x14ac:dyDescent="0.25">
      <c r="A67" s="8" t="s">
        <v>10</v>
      </c>
      <c r="B67" s="13">
        <f>-'[11]TB Jun'!F151</f>
        <v>-302.94</v>
      </c>
      <c r="C67" s="13">
        <f>-'[11]TB Jun'!F152</f>
        <v>-653.84</v>
      </c>
      <c r="D67" s="13">
        <f>-'[11]TB Jun'!F153</f>
        <v>-118.14</v>
      </c>
      <c r="E67" s="13">
        <f>-'[11]TB Jun'!F154</f>
        <v>-25.08</v>
      </c>
      <c r="F67" s="14">
        <f t="shared" si="12"/>
        <v>-1100</v>
      </c>
      <c r="G67" s="13">
        <f>F67+G56</f>
        <v>265906.71000000002</v>
      </c>
      <c r="H67" s="34">
        <f>-SUM('[11]TB Jun'!G151:G154)</f>
        <v>265906.70999999996</v>
      </c>
      <c r="I67" s="34">
        <f>H67-G67</f>
        <v>0</v>
      </c>
    </row>
    <row r="68" spans="1:9" s="10" customFormat="1" ht="12.75" customHeight="1" x14ac:dyDescent="0.25">
      <c r="A68" s="8" t="s">
        <v>11</v>
      </c>
      <c r="B68" s="13">
        <f>-'[11]TB Jun'!F155+'[11]TB Jun'!F164</f>
        <v>0</v>
      </c>
      <c r="C68" s="13">
        <f>-'[11]TB Jun'!F156</f>
        <v>0</v>
      </c>
      <c r="D68" s="13">
        <f>-'[11]TB Jun'!F157</f>
        <v>0</v>
      </c>
      <c r="E68" s="13">
        <f>-'[11]TB Jun'!F158</f>
        <v>0</v>
      </c>
      <c r="F68" s="14">
        <f t="shared" si="12"/>
        <v>0</v>
      </c>
      <c r="G68" s="13">
        <f>F68+G57</f>
        <v>2000</v>
      </c>
      <c r="H68" s="34">
        <f>-SUM('[11]TB Jun'!G155:G158)-'[11]TB Jun'!G164</f>
        <v>2000</v>
      </c>
      <c r="I68" s="34">
        <f>H68-G68</f>
        <v>0</v>
      </c>
    </row>
    <row r="69" spans="1:9" s="10" customFormat="1" ht="12.75" hidden="1" customHeight="1" outlineLevel="1" x14ac:dyDescent="0.25">
      <c r="A69" s="42" t="s">
        <v>47</v>
      </c>
      <c r="B69" s="43">
        <f>-'[11]TB Jun'!F182</f>
        <v>8461955.6099999994</v>
      </c>
      <c r="C69" s="43">
        <f>-'[11]TB Jun'!F183</f>
        <v>-8113696.6200000001</v>
      </c>
      <c r="D69" s="43">
        <f>-'[11]TB Jun'!F184</f>
        <v>2060848.73</v>
      </c>
      <c r="E69" s="43">
        <f>-'[11]TB Jun'!F185</f>
        <v>-3492404.85</v>
      </c>
      <c r="F69" s="44">
        <f t="shared" si="12"/>
        <v>-1083297.1300000008</v>
      </c>
      <c r="G69" s="13"/>
      <c r="I69" s="34"/>
    </row>
    <row r="70" spans="1:9" s="10" customFormat="1" ht="12.75" hidden="1" customHeight="1" outlineLevel="1" x14ac:dyDescent="0.25">
      <c r="A70" s="42" t="s">
        <v>48</v>
      </c>
      <c r="B70" s="43">
        <f>'[20]Aud Adj'!$K$7</f>
        <v>-1667225.8354932703</v>
      </c>
      <c r="C70" s="43">
        <f>'[20]Aud Adj'!$K$8</f>
        <v>-2259943.9525640029</v>
      </c>
      <c r="D70" s="43">
        <f>'[20]Aud Adj'!$K$9</f>
        <v>-489357.57030159491</v>
      </c>
      <c r="E70" s="43">
        <f>'[20]Aud Adj'!$K$10</f>
        <v>-13765.508546442194</v>
      </c>
      <c r="F70" s="44">
        <f t="shared" si="12"/>
        <v>-4430292.8669053102</v>
      </c>
      <c r="G70" s="13"/>
      <c r="I70" s="34"/>
    </row>
    <row r="71" spans="1:9" s="10" customFormat="1" ht="12.75" customHeight="1" collapsed="1" x14ac:dyDescent="0.25">
      <c r="A71" s="8" t="s">
        <v>12</v>
      </c>
      <c r="B71" s="13">
        <f>B69+B70</f>
        <v>6794729.7745067291</v>
      </c>
      <c r="C71" s="13">
        <f>C69+C70</f>
        <v>-10373640.572564002</v>
      </c>
      <c r="D71" s="13">
        <f>D69+D70</f>
        <v>1571491.1596984051</v>
      </c>
      <c r="E71" s="13">
        <f>E69+E70</f>
        <v>-3506170.3585464424</v>
      </c>
      <c r="F71" s="14">
        <f t="shared" si="12"/>
        <v>-5513589.9969053101</v>
      </c>
      <c r="G71" s="13">
        <f>F71+G58</f>
        <v>-45954583.32690531</v>
      </c>
      <c r="H71" s="34">
        <f>-SUM('[11]TB Jun'!G182:G185)</f>
        <v>-45954583.329999998</v>
      </c>
      <c r="I71" s="34">
        <f>H71-G71</f>
        <v>-3.0946880578994751E-3</v>
      </c>
    </row>
    <row r="72" spans="1:9" s="10" customFormat="1" ht="12.75" hidden="1" customHeight="1" outlineLevel="1" x14ac:dyDescent="0.25">
      <c r="A72" s="41" t="s">
        <v>49</v>
      </c>
      <c r="B72" s="40">
        <f>-'[11]TB Jun'!F169-'[11]TB Jun'!F178</f>
        <v>-96000223.540000007</v>
      </c>
      <c r="C72" s="40">
        <f>-'[11]TB Jun'!F170-'[11]TB Jun'!F179</f>
        <v>-357035651.13999999</v>
      </c>
      <c r="D72" s="40">
        <f>-'[11]TB Jun'!F171-'[11]TB Jun'!F180</f>
        <v>-69502255.370000005</v>
      </c>
      <c r="E72" s="40">
        <f>-'[11]TB Jun'!F172-'[11]TB Jun'!F181</f>
        <v>-2637545.4900000002</v>
      </c>
      <c r="F72" s="39">
        <f t="shared" si="12"/>
        <v>-525175675.54000002</v>
      </c>
      <c r="G72" s="13"/>
      <c r="I72" s="34"/>
    </row>
    <row r="73" spans="1:9" s="10" customFormat="1" ht="12.75" hidden="1" customHeight="1" outlineLevel="1" x14ac:dyDescent="0.25">
      <c r="A73" s="41" t="s">
        <v>50</v>
      </c>
      <c r="B73" s="40">
        <f>'[20]Aud Adj'!$K$23</f>
        <v>-653201.46078000008</v>
      </c>
      <c r="C73" s="40">
        <f>'[20]Aud Adj'!$K$24</f>
        <v>-1379291.3555080004</v>
      </c>
      <c r="D73" s="40">
        <f>'[20]Aud Adj'!$K$25</f>
        <v>-241952.34144400014</v>
      </c>
      <c r="E73" s="40">
        <f>'[20]Aud Adj'!$K$26</f>
        <v>-54258.802268000007</v>
      </c>
      <c r="F73" s="39">
        <f t="shared" si="12"/>
        <v>-2328703.9600000004</v>
      </c>
      <c r="G73" s="13"/>
      <c r="I73" s="34"/>
    </row>
    <row r="74" spans="1:9" s="10" customFormat="1" ht="12.75" customHeight="1" collapsed="1" x14ac:dyDescent="0.25">
      <c r="A74" s="8" t="s">
        <v>13</v>
      </c>
      <c r="B74" s="13">
        <f>B72+B73</f>
        <v>-96653425.000780001</v>
      </c>
      <c r="C74" s="13">
        <f>C72+C73</f>
        <v>-358414942.49550802</v>
      </c>
      <c r="D74" s="13">
        <f>D72+D73</f>
        <v>-69744207.711444005</v>
      </c>
      <c r="E74" s="13">
        <f>E72+E73</f>
        <v>-2691804.2922680001</v>
      </c>
      <c r="F74" s="14">
        <f t="shared" si="12"/>
        <v>-527504379.5</v>
      </c>
      <c r="G74" s="13">
        <f>F74+G59</f>
        <v>-5024276663.7700005</v>
      </c>
      <c r="H74" s="34">
        <f>-SUM('[11]TB Jun'!G169:G172)-SUM('[11]TB Jun'!G178:G181)</f>
        <v>-5024276663.7700005</v>
      </c>
      <c r="I74" s="34">
        <f>H74-G74</f>
        <v>0</v>
      </c>
    </row>
    <row r="75" spans="1:9" s="10" customFormat="1" ht="12.75" hidden="1" customHeight="1" outlineLevel="1" x14ac:dyDescent="0.25">
      <c r="A75" s="41" t="s">
        <v>51</v>
      </c>
      <c r="B75" s="40">
        <f>-'[11]TB Jun'!F174</f>
        <v>-4427557.0599999996</v>
      </c>
      <c r="C75" s="40">
        <f>-'[11]TB Jun'!F175</f>
        <v>-1982275.81</v>
      </c>
      <c r="D75" s="40">
        <f>-'[11]TB Jun'!F176</f>
        <v>-545018.56999999995</v>
      </c>
      <c r="E75" s="40">
        <f>-'[11]TB Jun'!F177</f>
        <v>-607885.37</v>
      </c>
      <c r="F75" s="40">
        <f t="shared" si="12"/>
        <v>-7562736.8099999996</v>
      </c>
      <c r="G75" s="13"/>
      <c r="I75" s="34"/>
    </row>
    <row r="76" spans="1:9" s="10" customFormat="1" ht="12.75" hidden="1" customHeight="1" outlineLevel="1" x14ac:dyDescent="0.25">
      <c r="A76" s="41" t="s">
        <v>52</v>
      </c>
      <c r="B76" s="40">
        <f>'[20]Aud Adj'!$K$15</f>
        <v>-4569236.5499999989</v>
      </c>
      <c r="C76" s="40">
        <f>'[20]Aud Adj'!$K$16</f>
        <v>202408</v>
      </c>
      <c r="D76" s="40">
        <f>'[20]Aud Adj'!$K$17</f>
        <v>-895353</v>
      </c>
      <c r="E76" s="40">
        <f>'[20]Aud Adj'!$K$18</f>
        <v>57046</v>
      </c>
      <c r="F76" s="39">
        <f t="shared" si="12"/>
        <v>-5205135.5499999989</v>
      </c>
      <c r="G76" s="13"/>
      <c r="I76" s="34"/>
    </row>
    <row r="77" spans="1:9" s="10" customFormat="1" ht="12.75" customHeight="1" collapsed="1" x14ac:dyDescent="0.25">
      <c r="A77" s="8" t="s">
        <v>14</v>
      </c>
      <c r="B77" s="23">
        <f>B75+B76</f>
        <v>-8996793.6099999994</v>
      </c>
      <c r="C77" s="23">
        <f>C75+C76</f>
        <v>-1779867.81</v>
      </c>
      <c r="D77" s="23">
        <f>D75+D76</f>
        <v>-1440371.5699999998</v>
      </c>
      <c r="E77" s="23">
        <f>E75+E76</f>
        <v>-550839.37</v>
      </c>
      <c r="F77" s="14">
        <f t="shared" si="12"/>
        <v>-12767872.359999999</v>
      </c>
      <c r="G77" s="13">
        <f>F77+G60</f>
        <v>-81614857.320000008</v>
      </c>
      <c r="H77" s="34">
        <f>-SUM('[11]TB Jun'!G174:G177)</f>
        <v>-81614857.320000008</v>
      </c>
      <c r="I77" s="34">
        <f>H77-G77</f>
        <v>0</v>
      </c>
    </row>
    <row r="78" spans="1:9" s="10" customFormat="1" ht="12.75" customHeight="1" x14ac:dyDescent="0.25">
      <c r="A78" s="8" t="s">
        <v>15</v>
      </c>
      <c r="B78" s="23">
        <f>-'[11]TB Jun'!F139-'[11]TB Jun'!F143</f>
        <v>17413097.960000001</v>
      </c>
      <c r="C78" s="23">
        <f>-'[11]TB Jun'!F140-'[11]TB Jun'!F144</f>
        <v>1300910.6000000001</v>
      </c>
      <c r="D78" s="23">
        <f>-'[11]TB Jun'!F141-'[11]TB Jun'!F145</f>
        <v>813204.66</v>
      </c>
      <c r="E78" s="23">
        <f>-'[11]TB Jun'!F142-'[11]TB Jun'!F146</f>
        <v>394743.08999999997</v>
      </c>
      <c r="F78" s="14">
        <f t="shared" si="12"/>
        <v>19921956.310000002</v>
      </c>
      <c r="G78" s="13">
        <f>F78+G61</f>
        <v>179998289.43000001</v>
      </c>
      <c r="H78" s="34">
        <f>-SUM('[11]TB Jun'!G139:G146)</f>
        <v>179998289.42999998</v>
      </c>
      <c r="I78" s="34">
        <f>H78-G78</f>
        <v>0</v>
      </c>
    </row>
    <row r="79" spans="1:9" s="20" customFormat="1" ht="12.75" customHeight="1" thickBot="1" x14ac:dyDescent="0.3">
      <c r="A79" s="16" t="s">
        <v>16</v>
      </c>
      <c r="B79" s="17">
        <f>B62+B65+B66+B67+B68+B71+B74+B77+B78</f>
        <v>4393583382.4443703</v>
      </c>
      <c r="C79" s="17">
        <f>C62+C65+C66+C67+C68+C71+C74+C77+C78</f>
        <v>303872100.28157687</v>
      </c>
      <c r="D79" s="17">
        <f>D62+D65+D66+D67+D68+D71+D74+D77+D78</f>
        <v>97527890.626124844</v>
      </c>
      <c r="E79" s="17">
        <f>E62+E65+E66+E67+E68+E71+E74+E77+E78</f>
        <v>97501751.755023316</v>
      </c>
      <c r="F79" s="17">
        <f>F62+F65+F66+F67+F68+F71+F74+F77+F78</f>
        <v>4892485125.1070957</v>
      </c>
      <c r="G79" s="19"/>
    </row>
    <row r="80" spans="1:9" s="10" customFormat="1" ht="12.75" customHeight="1" thickTop="1" x14ac:dyDescent="0.25">
      <c r="A80" s="8"/>
      <c r="B80" s="13"/>
      <c r="C80" s="13"/>
      <c r="F80" s="13"/>
      <c r="G80" s="19" t="s">
        <v>32</v>
      </c>
      <c r="H80" s="19" t="s">
        <v>32</v>
      </c>
      <c r="I80" s="20" t="s">
        <v>46</v>
      </c>
    </row>
    <row r="81" spans="1:9" s="10" customFormat="1" ht="12.75" customHeight="1" x14ac:dyDescent="0.25">
      <c r="A81" s="15" t="s">
        <v>22</v>
      </c>
      <c r="B81" s="21"/>
      <c r="C81" s="21"/>
      <c r="D81" s="22"/>
      <c r="E81" s="22"/>
      <c r="F81" s="21"/>
      <c r="G81" s="19" t="s">
        <v>44</v>
      </c>
      <c r="H81" s="20" t="s">
        <v>45</v>
      </c>
    </row>
    <row r="82" spans="1:9" s="10" customFormat="1" ht="12.75" customHeight="1" x14ac:dyDescent="0.25">
      <c r="A82" s="8" t="s">
        <v>8</v>
      </c>
      <c r="B82" s="14">
        <f>'[11]AR Schd July 07'!B11</f>
        <v>156627976.67000002</v>
      </c>
      <c r="C82" s="14">
        <f>'[11]AR Schd July 07'!C11</f>
        <v>391660587.13999999</v>
      </c>
      <c r="D82" s="14">
        <f>'[11]AR Schd July 07'!D11</f>
        <v>57143843.639999993</v>
      </c>
      <c r="E82" s="14">
        <f>'[11]AR Schd July 07'!E11</f>
        <v>13704598.82</v>
      </c>
      <c r="F82" s="14">
        <f t="shared" ref="F82:F90" si="13">SUM(B82:E82)</f>
        <v>619137006.26999998</v>
      </c>
      <c r="G82" s="13"/>
    </row>
    <row r="83" spans="1:9" s="10" customFormat="1" ht="12.75" customHeight="1" x14ac:dyDescent="0.25">
      <c r="A83" s="8" t="s">
        <v>9</v>
      </c>
      <c r="B83" s="13">
        <f>-'[11]TB July '!F147</f>
        <v>7125.46</v>
      </c>
      <c r="C83" s="13">
        <f>-'[11]TB July '!F148</f>
        <v>17735.509999999998</v>
      </c>
      <c r="D83" s="13">
        <f>-'[11]TB July '!F149</f>
        <v>2644.92</v>
      </c>
      <c r="E83" s="13">
        <f>-'[11]TB July '!F150</f>
        <v>601.09</v>
      </c>
      <c r="F83" s="14">
        <f t="shared" si="13"/>
        <v>28106.98</v>
      </c>
      <c r="G83" s="13">
        <f>G66+F83</f>
        <v>1629100.56</v>
      </c>
      <c r="H83" s="34">
        <f>-SUM('[11]TB July '!G147:G150)</f>
        <v>1629100.5599999998</v>
      </c>
      <c r="I83" s="34">
        <f t="shared" ref="I83:I89" si="14">G83-H83</f>
        <v>0</v>
      </c>
    </row>
    <row r="84" spans="1:9" s="10" customFormat="1" ht="12.75" customHeight="1" x14ac:dyDescent="0.25">
      <c r="A84" s="8" t="s">
        <v>10</v>
      </c>
      <c r="B84" s="13">
        <f>-'[11]TB July '!F151</f>
        <v>118614.79</v>
      </c>
      <c r="C84" s="13">
        <f>-'[11]TB July '!F152</f>
        <v>295250.33</v>
      </c>
      <c r="D84" s="13">
        <f>-'[11]TB July '!F153</f>
        <v>44030.28</v>
      </c>
      <c r="E84" s="13">
        <f>-'[11]TB July '!F154</f>
        <v>10013.06</v>
      </c>
      <c r="F84" s="14">
        <f t="shared" si="13"/>
        <v>467908.46</v>
      </c>
      <c r="G84" s="13">
        <f>G67+F84</f>
        <v>733815.17</v>
      </c>
      <c r="H84" s="34">
        <f>-SUM('[11]TB July '!G151:G154)</f>
        <v>733815.17</v>
      </c>
      <c r="I84" s="34">
        <f t="shared" si="14"/>
        <v>0</v>
      </c>
    </row>
    <row r="85" spans="1:9" s="10" customFormat="1" ht="12.75" customHeight="1" x14ac:dyDescent="0.25">
      <c r="A85" s="8" t="s">
        <v>11</v>
      </c>
      <c r="B85" s="13">
        <f>-'[11]TB July '!F155-'[11]TB July '!F163</f>
        <v>0</v>
      </c>
      <c r="C85" s="13">
        <f>-'[11]TB July '!F156</f>
        <v>0</v>
      </c>
      <c r="D85" s="13">
        <f>-'[11]TB July '!F157</f>
        <v>0</v>
      </c>
      <c r="E85" s="13">
        <f>-'[11]TB July '!F158</f>
        <v>0</v>
      </c>
      <c r="F85" s="14">
        <f t="shared" si="13"/>
        <v>0</v>
      </c>
      <c r="G85" s="13">
        <f>G68+F85</f>
        <v>2000</v>
      </c>
      <c r="H85" s="34">
        <f>-SUM('[11]TB July '!G155:G158)</f>
        <v>2000</v>
      </c>
      <c r="I85" s="34">
        <f t="shared" si="14"/>
        <v>0</v>
      </c>
    </row>
    <row r="86" spans="1:9" s="10" customFormat="1" ht="12.75" customHeight="1" x14ac:dyDescent="0.25">
      <c r="A86" s="8" t="s">
        <v>12</v>
      </c>
      <c r="B86" s="13">
        <f>-'[11]TB July '!F181</f>
        <v>1989715.41</v>
      </c>
      <c r="C86" s="13">
        <f>-'[11]TB July '!F182</f>
        <v>3845423.72</v>
      </c>
      <c r="D86" s="13">
        <f>-'[11]TB July '!F183</f>
        <v>328521.89</v>
      </c>
      <c r="E86" s="13">
        <f>-'[11]TB July '!F184</f>
        <v>79177.34</v>
      </c>
      <c r="F86" s="14">
        <f t="shared" si="13"/>
        <v>6242838.3599999994</v>
      </c>
      <c r="G86" s="13">
        <f>G71+F86</f>
        <v>-39711744.966905311</v>
      </c>
      <c r="H86" s="34">
        <f>-SUM('[11]TB July '!G181:G184)</f>
        <v>-39711744.969999999</v>
      </c>
      <c r="I86" s="34">
        <f t="shared" si="14"/>
        <v>3.0946880578994751E-3</v>
      </c>
    </row>
    <row r="87" spans="1:9" s="10" customFormat="1" ht="12.75" customHeight="1" x14ac:dyDescent="0.25">
      <c r="A87" s="8" t="s">
        <v>13</v>
      </c>
      <c r="B87" s="13">
        <f>-'[11]TB July '!F168-'[11]TB July '!F177</f>
        <v>-141252801.37</v>
      </c>
      <c r="C87" s="13">
        <f>-'[11]TB July '!F169-'[11]TB July '!F178</f>
        <v>-350533346</v>
      </c>
      <c r="D87" s="13">
        <f>-'[11]TB July '!F170-'[11]TB July '!F179</f>
        <v>-70742787</v>
      </c>
      <c r="E87" s="13">
        <f>-'[11]TB July '!F171-'[11]TB July '!F180</f>
        <v>-2803167.87</v>
      </c>
      <c r="F87" s="14">
        <f t="shared" si="13"/>
        <v>-565332102.24000001</v>
      </c>
      <c r="G87" s="13">
        <f>G74+F87</f>
        <v>-5589608766.0100002</v>
      </c>
      <c r="H87" s="34">
        <f>-SUM('[11]TB July '!G168:G171)-SUM('[11]TB July '!G177:G180)</f>
        <v>-5589608766.0100012</v>
      </c>
      <c r="I87" s="34">
        <f t="shared" si="14"/>
        <v>0</v>
      </c>
    </row>
    <row r="88" spans="1:9" s="10" customFormat="1" ht="12.75" customHeight="1" x14ac:dyDescent="0.25">
      <c r="A88" s="8" t="s">
        <v>14</v>
      </c>
      <c r="B88" s="23">
        <f>-'[11]TB July '!F173</f>
        <v>-4635698.66</v>
      </c>
      <c r="C88" s="23">
        <f>-'[11]TB July '!F174</f>
        <v>-2118989.7200000002</v>
      </c>
      <c r="D88" s="23">
        <f>-'[11]TB July '!F175</f>
        <v>-689744.6</v>
      </c>
      <c r="E88" s="23">
        <f>-'[11]TB July '!F176</f>
        <v>-256728.01</v>
      </c>
      <c r="F88" s="14">
        <f t="shared" si="13"/>
        <v>-7701160.9900000002</v>
      </c>
      <c r="G88" s="13">
        <f>G77+F88</f>
        <v>-89316018.310000002</v>
      </c>
      <c r="H88" s="34">
        <f>-SUM('[11]TB July '!G173:G176)</f>
        <v>-89316018.310000002</v>
      </c>
      <c r="I88" s="34">
        <f t="shared" si="14"/>
        <v>0</v>
      </c>
    </row>
    <row r="89" spans="1:9" s="10" customFormat="1" ht="12.75" customHeight="1" x14ac:dyDescent="0.25">
      <c r="A89" s="8" t="s">
        <v>15</v>
      </c>
      <c r="B89" s="23">
        <f>-'[11]TB July '!F139-'[11]TB July '!F143</f>
        <v>17743993.419999998</v>
      </c>
      <c r="C89" s="23">
        <f>-'[11]TB July '!F140-'[11]TB July '!F144</f>
        <v>1596319.85</v>
      </c>
      <c r="D89" s="23">
        <f>-'[11]TB July '!F141-'[11]TB July '!F145</f>
        <v>918995.32000000007</v>
      </c>
      <c r="E89" s="23">
        <f>-'[11]TB July '!F142-'[11]TB July '!F146</f>
        <v>532090.98</v>
      </c>
      <c r="F89" s="14">
        <f t="shared" si="13"/>
        <v>20791399.57</v>
      </c>
      <c r="G89" s="13">
        <f>G78+F89</f>
        <v>200789689</v>
      </c>
      <c r="H89" s="34">
        <f>-SUM('[11]TB July '!G139:G146)</f>
        <v>200789688.99999997</v>
      </c>
      <c r="I89" s="34">
        <f t="shared" si="14"/>
        <v>0</v>
      </c>
    </row>
    <row r="90" spans="1:9" s="20" customFormat="1" ht="12.75" customHeight="1" thickBot="1" x14ac:dyDescent="0.3">
      <c r="A90" s="16" t="s">
        <v>16</v>
      </c>
      <c r="B90" s="17">
        <f>SUM(B82:B89)+B79</f>
        <v>4424182308.1643705</v>
      </c>
      <c r="C90" s="17">
        <f>SUM(C82:C89)+C79</f>
        <v>348635081.11157686</v>
      </c>
      <c r="D90" s="17">
        <f>SUM(D82:D89)+D79</f>
        <v>84533395.076124847</v>
      </c>
      <c r="E90" s="17">
        <f>SUM(E82:E89)+E79</f>
        <v>108768337.16502331</v>
      </c>
      <c r="F90" s="18">
        <f t="shared" si="13"/>
        <v>4966119121.5170956</v>
      </c>
      <c r="G90" s="19"/>
    </row>
    <row r="91" spans="1:9" s="10" customFormat="1" ht="12.75" customHeight="1" thickTop="1" x14ac:dyDescent="0.25">
      <c r="A91" s="8"/>
      <c r="B91" s="13"/>
      <c r="C91" s="13"/>
      <c r="F91" s="13"/>
      <c r="G91" s="19" t="s">
        <v>32</v>
      </c>
      <c r="H91" s="19" t="s">
        <v>32</v>
      </c>
      <c r="I91" s="20" t="s">
        <v>46</v>
      </c>
    </row>
    <row r="92" spans="1:9" s="10" customFormat="1" ht="12.75" customHeight="1" x14ac:dyDescent="0.25">
      <c r="A92" s="15" t="s">
        <v>23</v>
      </c>
      <c r="B92" s="21"/>
      <c r="C92" s="21"/>
      <c r="D92" s="22"/>
      <c r="E92" s="22"/>
      <c r="F92" s="21"/>
      <c r="G92" s="19" t="s">
        <v>44</v>
      </c>
      <c r="H92" s="20" t="s">
        <v>45</v>
      </c>
    </row>
    <row r="93" spans="1:9" s="10" customFormat="1" ht="12.75" customHeight="1" x14ac:dyDescent="0.25">
      <c r="A93" s="8" t="s">
        <v>8</v>
      </c>
      <c r="B93" s="14">
        <f>'[11]AR Schd Aug 07'!B11</f>
        <v>164164538.50999999</v>
      </c>
      <c r="C93" s="14">
        <f>'[11]AR Schd Aug 07'!C11</f>
        <v>406493716.70999998</v>
      </c>
      <c r="D93" s="14">
        <f>'[11]AR Schd Aug 07'!D11</f>
        <v>59938833.160000004</v>
      </c>
      <c r="E93" s="14">
        <f>'[11]AR Schd Aug 07'!E11</f>
        <v>13887326.989999998</v>
      </c>
      <c r="F93" s="14">
        <f t="shared" ref="F93:F101" si="15">SUM(B93:E93)</f>
        <v>644484415.37</v>
      </c>
      <c r="G93" s="13"/>
    </row>
    <row r="94" spans="1:9" s="10" customFormat="1" ht="12.75" customHeight="1" x14ac:dyDescent="0.25">
      <c r="A94" s="8" t="s">
        <v>9</v>
      </c>
      <c r="B94" s="13">
        <f>'[11]Aug 07 TB'!D13</f>
        <v>61869.32</v>
      </c>
      <c r="C94" s="13">
        <f>'[11]Aug 07 TB'!D14</f>
        <v>154001.04999999999</v>
      </c>
      <c r="D94" s="23">
        <f>'[11]Aug 07 TB'!D15</f>
        <v>22965.79</v>
      </c>
      <c r="E94" s="23">
        <f>'[11]Aug 07 TB'!D16</f>
        <v>5222.5</v>
      </c>
      <c r="F94" s="14">
        <f t="shared" si="15"/>
        <v>244058.66</v>
      </c>
      <c r="G94" s="13">
        <f t="shared" ref="G94:G100" si="16">G83+F94</f>
        <v>1873159.22</v>
      </c>
      <c r="H94" s="13">
        <f>'[11]Aug 07 TB'!E17</f>
        <v>1873159.22</v>
      </c>
      <c r="I94" s="34">
        <f t="shared" ref="I94:I100" si="17">G94-H94</f>
        <v>0</v>
      </c>
    </row>
    <row r="95" spans="1:9" s="10" customFormat="1" ht="12.75" customHeight="1" x14ac:dyDescent="0.25">
      <c r="A95" s="8" t="s">
        <v>10</v>
      </c>
      <c r="B95" s="13">
        <f>'[11]Aug 07 TB'!D19</f>
        <v>-10595.55</v>
      </c>
      <c r="C95" s="13">
        <f>'[11]Aug 07 TB'!D20</f>
        <v>-26373.87</v>
      </c>
      <c r="D95" s="23">
        <f>'[11]Aug 07 TB'!D21</f>
        <v>-3933.07</v>
      </c>
      <c r="E95" s="23">
        <f>'[11]Aug 07 TB'!D22</f>
        <v>-894.46</v>
      </c>
      <c r="F95" s="14">
        <f t="shared" si="15"/>
        <v>-41796.949999999997</v>
      </c>
      <c r="G95" s="13">
        <f t="shared" si="16"/>
        <v>692018.22000000009</v>
      </c>
      <c r="H95" s="13">
        <f>'[11]Aug 07 TB'!E23</f>
        <v>692018.22</v>
      </c>
      <c r="I95" s="34">
        <f t="shared" si="17"/>
        <v>0</v>
      </c>
    </row>
    <row r="96" spans="1:9" s="10" customFormat="1" ht="12.75" customHeight="1" x14ac:dyDescent="0.25">
      <c r="A96" s="8" t="s">
        <v>11</v>
      </c>
      <c r="B96" s="13">
        <f>'[11]Aug 07 TB'!D25</f>
        <v>0</v>
      </c>
      <c r="C96" s="13">
        <f>'[11]Aug 07 TB'!D26</f>
        <v>0</v>
      </c>
      <c r="D96" s="23">
        <f>'[11]Aug 07 TB'!D27</f>
        <v>0</v>
      </c>
      <c r="E96" s="23">
        <f>'[11]Aug 07 TB'!D28</f>
        <v>0</v>
      </c>
      <c r="F96" s="14">
        <f t="shared" si="15"/>
        <v>0</v>
      </c>
      <c r="G96" s="13">
        <f t="shared" si="16"/>
        <v>2000</v>
      </c>
      <c r="H96" s="13">
        <f>'[11]Aug 07 TB'!E29</f>
        <v>2000</v>
      </c>
      <c r="I96" s="34">
        <f t="shared" si="17"/>
        <v>0</v>
      </c>
    </row>
    <row r="97" spans="1:9" s="10" customFormat="1" ht="12.75" customHeight="1" x14ac:dyDescent="0.25">
      <c r="A97" s="8" t="s">
        <v>12</v>
      </c>
      <c r="B97" s="24">
        <f>'[11]Aug 07 TB'!D32</f>
        <v>1295396.05</v>
      </c>
      <c r="C97" s="24">
        <f>'[11]Aug 07 TB'!D33</f>
        <v>94728.03</v>
      </c>
      <c r="D97" s="25">
        <f>'[11]Aug 07 TB'!D34</f>
        <v>-141389.85999999999</v>
      </c>
      <c r="E97" s="25">
        <f>'[11]Aug 07 TB'!D35</f>
        <v>-30154.18</v>
      </c>
      <c r="F97" s="14">
        <f t="shared" si="15"/>
        <v>1218580.0400000003</v>
      </c>
      <c r="G97" s="13">
        <f t="shared" si="16"/>
        <v>-38493164.926905312</v>
      </c>
      <c r="H97" s="13">
        <f>'[11]Aug 07 TB'!E36</f>
        <v>-38493164.93</v>
      </c>
      <c r="I97" s="34">
        <f t="shared" si="17"/>
        <v>3.0946880578994751E-3</v>
      </c>
    </row>
    <row r="98" spans="1:9" s="10" customFormat="1" ht="12.75" customHeight="1" x14ac:dyDescent="0.25">
      <c r="A98" s="8" t="s">
        <v>13</v>
      </c>
      <c r="B98" s="24">
        <f>'[11]Aug 07 TB'!D38</f>
        <v>-174151511.84999999</v>
      </c>
      <c r="C98" s="24">
        <f>'[11]Aug 07 TB'!D39</f>
        <v>-371963906</v>
      </c>
      <c r="D98" s="24">
        <f>'[11]Aug 07 TB'!D40</f>
        <v>-68419842</v>
      </c>
      <c r="E98" s="24">
        <f>'[11]Aug 07 TB'!D41</f>
        <v>-1831658.04</v>
      </c>
      <c r="F98" s="14">
        <f t="shared" si="15"/>
        <v>-616366917.88999999</v>
      </c>
      <c r="G98" s="13">
        <f t="shared" si="16"/>
        <v>-6205975683.9000006</v>
      </c>
      <c r="H98" s="13">
        <f>'[11]Aug 07 TB'!E42</f>
        <v>-6205975683.9000006</v>
      </c>
      <c r="I98" s="34">
        <f t="shared" si="17"/>
        <v>0</v>
      </c>
    </row>
    <row r="99" spans="1:9" s="10" customFormat="1" ht="12.75" customHeight="1" x14ac:dyDescent="0.25">
      <c r="A99" s="8" t="s">
        <v>14</v>
      </c>
      <c r="B99" s="23">
        <f>'[11]Aug 07 TB'!D46</f>
        <v>-6440920.5800000001</v>
      </c>
      <c r="C99" s="13">
        <f>'[11]Aug 07 TB'!D47</f>
        <v>-808138.01</v>
      </c>
      <c r="D99" s="23">
        <f>'[11]Aug 07 TB'!D48</f>
        <v>-418015.38</v>
      </c>
      <c r="E99" s="23">
        <f>'[11]Aug 07 TB'!D49</f>
        <v>-455783.57</v>
      </c>
      <c r="F99" s="14">
        <f t="shared" si="15"/>
        <v>-8122857.54</v>
      </c>
      <c r="G99" s="13">
        <f t="shared" si="16"/>
        <v>-97438875.850000009</v>
      </c>
      <c r="H99" s="13">
        <f>'[11]Aug 07 TB'!E50</f>
        <v>-97438875.850000009</v>
      </c>
      <c r="I99" s="34">
        <f t="shared" si="17"/>
        <v>0</v>
      </c>
    </row>
    <row r="100" spans="1:9" s="10" customFormat="1" ht="12.75" customHeight="1" x14ac:dyDescent="0.25">
      <c r="A100" s="8" t="s">
        <v>15</v>
      </c>
      <c r="B100" s="23">
        <f>'[11]Aug 07 TB'!D52</f>
        <v>17513122.510000002</v>
      </c>
      <c r="C100" s="13">
        <f>'[11]Aug 07 TB'!D53</f>
        <v>1799892.02</v>
      </c>
      <c r="D100" s="23">
        <f>'[11]Aug 07 TB'!D54</f>
        <v>896102.65</v>
      </c>
      <c r="E100" s="23">
        <f>'[11]Aug 07 TB'!D55</f>
        <v>617871.76</v>
      </c>
      <c r="F100" s="14">
        <f t="shared" si="15"/>
        <v>20826988.940000001</v>
      </c>
      <c r="G100" s="13">
        <f t="shared" si="16"/>
        <v>221616677.94</v>
      </c>
      <c r="H100" s="13">
        <f>'[11]Aug 07 TB'!E56</f>
        <v>221616677.94</v>
      </c>
      <c r="I100" s="34">
        <f t="shared" si="17"/>
        <v>0</v>
      </c>
    </row>
    <row r="101" spans="1:9" s="20" customFormat="1" ht="12.75" customHeight="1" thickBot="1" x14ac:dyDescent="0.3">
      <c r="A101" s="16" t="s">
        <v>16</v>
      </c>
      <c r="B101" s="17">
        <f>SUM(B93:B100)+B90</f>
        <v>4426614206.5743704</v>
      </c>
      <c r="C101" s="17">
        <f>SUM(C90:C100)</f>
        <v>384379001.04157674</v>
      </c>
      <c r="D101" s="17">
        <f>SUM(D90:D100)</f>
        <v>76408116.366124839</v>
      </c>
      <c r="E101" s="17">
        <f>SUM(E90:E100)</f>
        <v>120960268.16502331</v>
      </c>
      <c r="F101" s="18">
        <f t="shared" si="15"/>
        <v>5008361592.1470947</v>
      </c>
      <c r="G101" s="19"/>
    </row>
    <row r="102" spans="1:9" s="10" customFormat="1" ht="12.75" customHeight="1" thickTop="1" x14ac:dyDescent="0.25">
      <c r="A102" s="8"/>
      <c r="B102" s="13"/>
      <c r="C102" s="13"/>
      <c r="F102" s="13"/>
      <c r="G102" s="19" t="s">
        <v>32</v>
      </c>
      <c r="H102" s="19" t="s">
        <v>32</v>
      </c>
      <c r="I102" s="20" t="s">
        <v>46</v>
      </c>
    </row>
    <row r="103" spans="1:9" s="10" customFormat="1" ht="12.75" customHeight="1" x14ac:dyDescent="0.25">
      <c r="A103" s="15" t="s">
        <v>24</v>
      </c>
      <c r="B103" s="21"/>
      <c r="C103" s="21"/>
      <c r="D103" s="22"/>
      <c r="E103" s="22"/>
      <c r="F103" s="21"/>
      <c r="G103" s="19" t="s">
        <v>44</v>
      </c>
      <c r="H103" s="20" t="s">
        <v>45</v>
      </c>
    </row>
    <row r="104" spans="1:9" s="10" customFormat="1" ht="12.75" customHeight="1" x14ac:dyDescent="0.25">
      <c r="A104" s="8" t="s">
        <v>8</v>
      </c>
      <c r="B104" s="14">
        <f>'[11]AR Schd Sep 07'!B11</f>
        <v>177440942.70999998</v>
      </c>
      <c r="C104" s="14">
        <f>'[11]AR Schd Sep 07'!C11</f>
        <v>442373194.94999993</v>
      </c>
      <c r="D104" s="14">
        <f>'[11]AR Schd Sep 07'!D11</f>
        <v>67879746.219999999</v>
      </c>
      <c r="E104" s="14">
        <f>'[11]AR Schd Sep 07'!E11</f>
        <v>14472080.699999999</v>
      </c>
      <c r="F104" s="26">
        <f t="shared" ref="F104:F112" si="18">SUM(B104:E104)</f>
        <v>702165964.57999992</v>
      </c>
      <c r="G104" s="13"/>
    </row>
    <row r="105" spans="1:9" s="10" customFormat="1" ht="12.75" customHeight="1" x14ac:dyDescent="0.25">
      <c r="A105" s="8" t="s">
        <v>9</v>
      </c>
      <c r="B105" s="14">
        <f>-'[11]Sep 07 TB'!F274-'[11]Sep 07 TB'!F290</f>
        <v>53315.46</v>
      </c>
      <c r="C105" s="14">
        <f>-'[11]Sep 07 TB'!F275-'[11]Sep 07 TB'!F291</f>
        <v>132708.79</v>
      </c>
      <c r="D105" s="14">
        <f>-'[11]Sep 07 TB'!F276-'[11]Sep 07 TB'!F292</f>
        <v>19790.55</v>
      </c>
      <c r="E105" s="14">
        <f>-'[11]Sep 07 TB'!F277-'[11]Sep 07 TB'!F293</f>
        <v>4500.2</v>
      </c>
      <c r="F105" s="26">
        <f t="shared" si="18"/>
        <v>210315</v>
      </c>
      <c r="G105" s="13">
        <f t="shared" ref="G105:G111" si="19">G94+F105</f>
        <v>2083474.22</v>
      </c>
      <c r="H105" s="13">
        <f>-SUM('[11]Sep 07 TB'!G274:G277)-SUM('[11]Sep 07 TB'!G290:G293)</f>
        <v>2083474.2199999997</v>
      </c>
      <c r="I105" s="34">
        <f t="shared" ref="I105:I111" si="20">G105-H105</f>
        <v>0</v>
      </c>
    </row>
    <row r="106" spans="1:9" s="10" customFormat="1" ht="12.75" customHeight="1" x14ac:dyDescent="0.25">
      <c r="A106" s="8" t="s">
        <v>10</v>
      </c>
      <c r="B106" s="14">
        <f>-'[11]Sep 07 TB'!F278-'[11]Sep 07 TB'!F296</f>
        <v>-2990.4</v>
      </c>
      <c r="C106" s="14">
        <f>-'[11]Sep 07 TB'!F279-'[11]Sep 07 TB'!F297</f>
        <v>-7443.57</v>
      </c>
      <c r="D106" s="14">
        <f>-'[11]Sep 07 TB'!F280-'[11]Sep 07 TB'!F298</f>
        <v>-1110.04</v>
      </c>
      <c r="E106" s="14">
        <f>-'[11]Sep 07 TB'!F281-'[11]Sep 07 TB'!F299</f>
        <v>-252.46</v>
      </c>
      <c r="F106" s="26">
        <f t="shared" si="18"/>
        <v>-11796.469999999998</v>
      </c>
      <c r="G106" s="13">
        <f t="shared" si="19"/>
        <v>680221.75000000012</v>
      </c>
      <c r="H106" s="13">
        <f>-SUM('[11]Sep 07 TB'!G278:G281)-SUM('[11]Sep 07 TB'!G296:G299)</f>
        <v>680221.75</v>
      </c>
      <c r="I106" s="34">
        <f t="shared" si="20"/>
        <v>0</v>
      </c>
    </row>
    <row r="107" spans="1:9" s="10" customFormat="1" ht="12.75" customHeight="1" x14ac:dyDescent="0.25">
      <c r="A107" s="8" t="s">
        <v>11</v>
      </c>
      <c r="B107" s="13">
        <f>-'[11]Sep 07 TB'!F282-'[11]Sep 07 TB'!F301</f>
        <v>0</v>
      </c>
      <c r="C107" s="13">
        <f>-'[11]Sep 07 TB'!F283-'[11]Sep 07 TB'!F302</f>
        <v>0</v>
      </c>
      <c r="D107" s="13">
        <f>-'[11]Sep 07 TB'!F284-'[11]Sep 07 TB'!F303</f>
        <v>0</v>
      </c>
      <c r="E107" s="13">
        <f>-'[11]Sep 07 TB'!F285-'[11]Sep 07 TB'!F304</f>
        <v>0</v>
      </c>
      <c r="F107" s="26">
        <f t="shared" si="18"/>
        <v>0</v>
      </c>
      <c r="G107" s="13">
        <f t="shared" si="19"/>
        <v>2000</v>
      </c>
      <c r="H107" s="13">
        <f>-SUM('[11]Sep 07 TB'!G282:G285)-SUM('[11]Sep 07 TB'!G301:G304)</f>
        <v>2000</v>
      </c>
      <c r="I107" s="34">
        <f t="shared" si="20"/>
        <v>0</v>
      </c>
    </row>
    <row r="108" spans="1:9" s="10" customFormat="1" ht="12.75" customHeight="1" x14ac:dyDescent="0.25">
      <c r="A108" s="8" t="s">
        <v>12</v>
      </c>
      <c r="B108" s="13">
        <f>-'[11]Sep 07 TB'!F329</f>
        <v>-25665573.260000002</v>
      </c>
      <c r="C108" s="13">
        <f>-'[11]Sep 07 TB'!F330</f>
        <v>-1851940.88</v>
      </c>
      <c r="D108" s="13">
        <f>-'[11]Sep 07 TB'!F331</f>
        <v>-260118.78</v>
      </c>
      <c r="E108" s="13">
        <f>-'[11]Sep 07 TB'!F332</f>
        <v>-358294.55</v>
      </c>
      <c r="F108" s="26">
        <f t="shared" si="18"/>
        <v>-28135927.470000003</v>
      </c>
      <c r="G108" s="13">
        <f t="shared" si="19"/>
        <v>-66629092.396905318</v>
      </c>
      <c r="H108" s="13">
        <f>-SUM('[11]Sep 07 TB'!G329:G332)</f>
        <v>-66629092.399999999</v>
      </c>
      <c r="I108" s="34">
        <f t="shared" si="20"/>
        <v>3.0946806073188782E-3</v>
      </c>
    </row>
    <row r="109" spans="1:9" s="10" customFormat="1" ht="12.75" customHeight="1" x14ac:dyDescent="0.25">
      <c r="A109" s="8" t="s">
        <v>13</v>
      </c>
      <c r="B109" s="13">
        <f>-'[11]Sep 07 TB'!F315-'[11]Sep 07 TB'!F325</f>
        <v>-129345528.81</v>
      </c>
      <c r="C109" s="13">
        <f>-'[11]Sep 07 TB'!F316-'[11]Sep 07 TB'!F326</f>
        <v>-358971924</v>
      </c>
      <c r="D109" s="13">
        <f>-'[11]Sep 07 TB'!F317-'[11]Sep 07 TB'!F327</f>
        <v>-69608452</v>
      </c>
      <c r="E109" s="13">
        <f>-'[11]Sep 07 TB'!F318-'[11]Sep 07 TB'!F328</f>
        <v>-4407272.9799999995</v>
      </c>
      <c r="F109" s="26">
        <f t="shared" si="18"/>
        <v>-562333177.78999996</v>
      </c>
      <c r="G109" s="13">
        <f t="shared" si="19"/>
        <v>-6768308861.6900005</v>
      </c>
      <c r="H109" s="13">
        <f>-SUM('[11]Sep 07 TB'!G315:G318)-SUM('[11]Sep 07 TB'!G325:G328)</f>
        <v>-6768308861.6900005</v>
      </c>
      <c r="I109" s="34">
        <f t="shared" si="20"/>
        <v>0</v>
      </c>
    </row>
    <row r="110" spans="1:9" s="10" customFormat="1" ht="12.75" customHeight="1" x14ac:dyDescent="0.25">
      <c r="A110" s="8" t="s">
        <v>14</v>
      </c>
      <c r="B110" s="23">
        <f>-'[11]Sep 07 TB'!F320</f>
        <v>-6019776.9299999997</v>
      </c>
      <c r="C110" s="23">
        <f>-'[11]Sep 07 TB'!F321</f>
        <v>1243332.3600000001</v>
      </c>
      <c r="D110" s="23">
        <f>-'[11]Sep 07 TB'!F322</f>
        <v>-620362.55000000005</v>
      </c>
      <c r="E110" s="23">
        <f>-'[11]Sep 07 TB'!F323</f>
        <v>-1278626.7</v>
      </c>
      <c r="F110" s="26">
        <f t="shared" si="18"/>
        <v>-6675433.8199999994</v>
      </c>
      <c r="G110" s="13">
        <f t="shared" si="19"/>
        <v>-104114309.67</v>
      </c>
      <c r="H110" s="13">
        <f>-SUM('[11]Sep 07 TB'!G320:G323)</f>
        <v>-104114309.67</v>
      </c>
      <c r="I110" s="34">
        <f t="shared" si="20"/>
        <v>0</v>
      </c>
    </row>
    <row r="111" spans="1:9" s="10" customFormat="1" ht="12.75" customHeight="1" x14ac:dyDescent="0.25">
      <c r="A111" s="8" t="s">
        <v>15</v>
      </c>
      <c r="B111" s="23">
        <f>-'[11]Sep 07 TB'!F255-'[11]Sep 07 TB'!F269</f>
        <v>16387188.309999999</v>
      </c>
      <c r="C111" s="23">
        <f>-'[11]Sep 07 TB'!F256-'[11]Sep 07 TB'!F270</f>
        <v>1883430.39</v>
      </c>
      <c r="D111" s="23">
        <f>-'[11]Sep 07 TB'!F257-'[11]Sep 07 TB'!F271</f>
        <v>758323.6</v>
      </c>
      <c r="E111" s="23">
        <f>-'[11]Sep 07 TB'!F258-'[11]Sep 07 TB'!F272</f>
        <v>615453.27</v>
      </c>
      <c r="F111" s="26">
        <f t="shared" si="18"/>
        <v>19644395.57</v>
      </c>
      <c r="G111" s="13">
        <f t="shared" si="19"/>
        <v>241261073.50999999</v>
      </c>
      <c r="H111" s="13">
        <f>-SUM('[11]Sep 07 TB'!G255:G258)-SUM('[11]Sep 07 TB'!G269:G272)</f>
        <v>241261073.50999999</v>
      </c>
      <c r="I111" s="34">
        <f t="shared" si="20"/>
        <v>0</v>
      </c>
    </row>
    <row r="112" spans="1:9" s="20" customFormat="1" ht="12.75" customHeight="1" thickBot="1" x14ac:dyDescent="0.3">
      <c r="A112" s="16" t="s">
        <v>16</v>
      </c>
      <c r="B112" s="17">
        <f>SUM(B101:B111)</f>
        <v>4459461783.6543703</v>
      </c>
      <c r="C112" s="17">
        <f>SUM(C101:C111)</f>
        <v>469180359.08157659</v>
      </c>
      <c r="D112" s="17">
        <f>SUM(D101:D111)</f>
        <v>74575933.366124853</v>
      </c>
      <c r="E112" s="17">
        <f>SUM(E101:E111)</f>
        <v>130007855.64502327</v>
      </c>
      <c r="F112" s="18">
        <f t="shared" si="18"/>
        <v>5133225931.7470951</v>
      </c>
      <c r="G112" s="19"/>
    </row>
    <row r="113" spans="1:9" s="10" customFormat="1" ht="12.75" customHeight="1" thickTop="1" x14ac:dyDescent="0.25">
      <c r="A113" s="8"/>
      <c r="B113" s="13"/>
      <c r="C113" s="13"/>
      <c r="D113" s="13"/>
      <c r="E113" s="13"/>
      <c r="F113" s="13"/>
      <c r="G113" s="13"/>
    </row>
    <row r="114" spans="1:9" s="10" customFormat="1" ht="12.75" customHeight="1" x14ac:dyDescent="0.25">
      <c r="A114" s="8"/>
      <c r="B114" s="13"/>
      <c r="C114" s="13"/>
      <c r="D114" s="13"/>
      <c r="E114" s="13"/>
      <c r="F114" s="13"/>
      <c r="G114" s="13"/>
    </row>
    <row r="115" spans="1:9" s="10" customFormat="1" ht="12.75" customHeight="1" x14ac:dyDescent="0.25">
      <c r="A115" s="8"/>
      <c r="B115" s="13"/>
      <c r="C115" s="13"/>
      <c r="D115" s="13"/>
      <c r="E115" s="13"/>
      <c r="F115" s="13"/>
      <c r="G115" s="13"/>
    </row>
    <row r="116" spans="1:9" s="10" customFormat="1" ht="12.75" customHeight="1" x14ac:dyDescent="0.25">
      <c r="A116" s="8"/>
      <c r="B116" s="13"/>
      <c r="C116" s="13"/>
      <c r="D116" s="13"/>
      <c r="E116" s="13"/>
      <c r="F116" s="13"/>
      <c r="G116" s="19" t="s">
        <v>32</v>
      </c>
      <c r="H116" s="19" t="s">
        <v>32</v>
      </c>
      <c r="I116" s="19" t="s">
        <v>33</v>
      </c>
    </row>
    <row r="117" spans="1:9" s="10" customFormat="1" ht="12.75" customHeight="1" x14ac:dyDescent="0.25">
      <c r="A117" s="15" t="s">
        <v>25</v>
      </c>
      <c r="B117" s="21"/>
      <c r="C117" s="21"/>
      <c r="D117" s="22"/>
      <c r="E117" s="22"/>
      <c r="F117" s="21"/>
      <c r="G117" s="19" t="s">
        <v>44</v>
      </c>
      <c r="H117" s="20" t="s">
        <v>45</v>
      </c>
    </row>
    <row r="118" spans="1:9" s="122" customFormat="1" ht="12.75" customHeight="1" x14ac:dyDescent="0.25">
      <c r="A118" s="122" t="s">
        <v>8</v>
      </c>
      <c r="B118" s="124">
        <f>'[11]AR Schd Oct 07'!B11</f>
        <v>170649058.77000001</v>
      </c>
      <c r="C118" s="124">
        <f>'[11]AR Schd Oct 07'!C11</f>
        <v>371879806.50999999</v>
      </c>
      <c r="D118" s="124">
        <f>'[11]AR Schd Oct 07'!D11</f>
        <v>74919670.150000006</v>
      </c>
      <c r="E118" s="124">
        <f>'[11]AR Schd Oct 07'!E11</f>
        <v>9451993.9200000018</v>
      </c>
      <c r="F118" s="124">
        <f t="shared" ref="F118:F146" si="21">SUM(B118:E118)</f>
        <v>626900529.3499999</v>
      </c>
      <c r="G118" s="123">
        <f>F118</f>
        <v>626900529.3499999</v>
      </c>
      <c r="H118" s="123">
        <f>-SUM('[11]October TB 2007'!J204:J207)</f>
        <v>626900529.35000002</v>
      </c>
      <c r="I118" s="126">
        <f>G118-H118</f>
        <v>0</v>
      </c>
    </row>
    <row r="119" spans="1:9" s="10" customFormat="1" ht="12.75" customHeight="1" x14ac:dyDescent="0.25">
      <c r="A119" s="8" t="s">
        <v>9</v>
      </c>
      <c r="B119" s="14">
        <f>-'[11]October TB 2007'!I192</f>
        <v>67321.539999999994</v>
      </c>
      <c r="C119" s="14">
        <f>-'[11]October TB 2007'!I193</f>
        <v>167572.43</v>
      </c>
      <c r="D119" s="14">
        <f>-'[11]October TB 2007'!I194</f>
        <v>24989.71</v>
      </c>
      <c r="E119" s="14">
        <f>-'[11]October TB 2007'!I195</f>
        <v>5682.85</v>
      </c>
      <c r="F119" s="26">
        <f t="shared" si="21"/>
        <v>265566.52999999997</v>
      </c>
      <c r="G119" s="13">
        <f>F119</f>
        <v>265566.52999999997</v>
      </c>
      <c r="H119" s="13">
        <f>-SUM('[11]October TB 2007'!J192:J195)</f>
        <v>265566.52999999997</v>
      </c>
      <c r="I119" s="45">
        <f>G119-H119</f>
        <v>0</v>
      </c>
    </row>
    <row r="120" spans="1:9" s="10" customFormat="1" ht="12.75" hidden="1" customHeight="1" outlineLevel="1" x14ac:dyDescent="0.25">
      <c r="A120" s="53" t="s">
        <v>68</v>
      </c>
      <c r="B120" s="14">
        <f>B105</f>
        <v>53315.46</v>
      </c>
      <c r="C120" s="14">
        <f>C105</f>
        <v>132708.79</v>
      </c>
      <c r="D120" s="14">
        <f>D105</f>
        <v>19790.55</v>
      </c>
      <c r="E120" s="14">
        <f>E105</f>
        <v>4500.2</v>
      </c>
      <c r="F120" s="26">
        <f t="shared" si="21"/>
        <v>210315</v>
      </c>
      <c r="G120" s="13">
        <f>F120</f>
        <v>210315</v>
      </c>
      <c r="H120" s="13"/>
      <c r="I120" s="45">
        <f>G120-H120</f>
        <v>210315</v>
      </c>
    </row>
    <row r="121" spans="1:9" s="10" customFormat="1" ht="12.75" hidden="1" customHeight="1" outlineLevel="1" x14ac:dyDescent="0.25">
      <c r="A121" s="53" t="s">
        <v>70</v>
      </c>
      <c r="B121" s="14">
        <f>'[11]Sep 07 TB (most recent)'!D12</f>
        <v>53315.46</v>
      </c>
      <c r="C121" s="14">
        <f>'[11]Sep 07 TB (most recent)'!D13</f>
        <v>132708.79</v>
      </c>
      <c r="D121" s="14">
        <f>'[11]Sep 07 TB (most recent)'!D14</f>
        <v>19790.55</v>
      </c>
      <c r="E121" s="14">
        <f>'[11]Sep 07 TB (most recent)'!D15</f>
        <v>4500.2</v>
      </c>
      <c r="F121" s="26">
        <f t="shared" si="21"/>
        <v>210315</v>
      </c>
      <c r="G121" s="13">
        <f>F121</f>
        <v>210315</v>
      </c>
      <c r="H121" s="13"/>
      <c r="I121" s="45">
        <f>G121-H121</f>
        <v>210315</v>
      </c>
    </row>
    <row r="122" spans="1:9" s="58" customFormat="1" ht="12.75" customHeight="1" collapsed="1" x14ac:dyDescent="0.25">
      <c r="A122" s="54" t="s">
        <v>73</v>
      </c>
      <c r="B122" s="55">
        <f>B121-B120</f>
        <v>0</v>
      </c>
      <c r="C122" s="55">
        <f>C121-C120</f>
        <v>0</v>
      </c>
      <c r="D122" s="55">
        <f>D121-D120</f>
        <v>0</v>
      </c>
      <c r="E122" s="55">
        <f>E121-E120</f>
        <v>0</v>
      </c>
      <c r="F122" s="56">
        <f t="shared" si="21"/>
        <v>0</v>
      </c>
      <c r="G122" s="13"/>
      <c r="H122" s="13"/>
      <c r="I122" s="45"/>
    </row>
    <row r="123" spans="1:9" s="10" customFormat="1" ht="12.75" customHeight="1" x14ac:dyDescent="0.25">
      <c r="A123" s="8" t="s">
        <v>10</v>
      </c>
      <c r="B123" s="14">
        <f>-'[11]October TB 2007'!I196</f>
        <v>29668.39</v>
      </c>
      <c r="C123" s="14">
        <f>-'[11]October TB 2007'!I197</f>
        <v>73849.179999999993</v>
      </c>
      <c r="D123" s="14">
        <f>-'[11]October TB 2007'!I198</f>
        <v>11013.01</v>
      </c>
      <c r="E123" s="14">
        <f>-'[11]October TB 2007'!I199</f>
        <v>2504.5500000000002</v>
      </c>
      <c r="F123" s="26">
        <f t="shared" si="21"/>
        <v>117035.12999999999</v>
      </c>
      <c r="G123" s="13">
        <f>F123</f>
        <v>117035.12999999999</v>
      </c>
      <c r="H123" s="13">
        <f>-SUM('[11]October TB 2007'!J196:J199)</f>
        <v>117035.12999999999</v>
      </c>
      <c r="I123" s="45">
        <f>G123-H123</f>
        <v>0</v>
      </c>
    </row>
    <row r="124" spans="1:9" s="10" customFormat="1" ht="12.75" hidden="1" customHeight="1" outlineLevel="1" x14ac:dyDescent="0.25">
      <c r="A124" s="53" t="s">
        <v>69</v>
      </c>
      <c r="B124" s="14">
        <f>B106</f>
        <v>-2990.4</v>
      </c>
      <c r="C124" s="14">
        <f>C106</f>
        <v>-7443.57</v>
      </c>
      <c r="D124" s="14">
        <f>D106</f>
        <v>-1110.04</v>
      </c>
      <c r="E124" s="14">
        <f>E106</f>
        <v>-252.46</v>
      </c>
      <c r="F124" s="26">
        <f t="shared" si="21"/>
        <v>-11796.469999999998</v>
      </c>
      <c r="G124" s="13">
        <f>F124</f>
        <v>-11796.469999999998</v>
      </c>
      <c r="H124" s="13"/>
      <c r="I124" s="45">
        <f>G124-H124</f>
        <v>-11796.469999999998</v>
      </c>
    </row>
    <row r="125" spans="1:9" s="10" customFormat="1" ht="12.75" hidden="1" customHeight="1" outlineLevel="1" x14ac:dyDescent="0.25">
      <c r="A125" s="53" t="s">
        <v>71</v>
      </c>
      <c r="B125" s="14">
        <f>'[11]Sep 07 TB (most recent)'!D18</f>
        <v>-2990.4</v>
      </c>
      <c r="C125" s="14">
        <f>'[11]Sep 07 TB (most recent)'!D19</f>
        <v>-7443.57</v>
      </c>
      <c r="D125" s="14">
        <f>'[11]Sep 07 TB (most recent)'!D20</f>
        <v>-1110.04</v>
      </c>
      <c r="E125" s="14">
        <f>'[11]Sep 07 TB (most recent)'!D21</f>
        <v>-252.46</v>
      </c>
      <c r="F125" s="26">
        <f t="shared" si="21"/>
        <v>-11796.469999999998</v>
      </c>
      <c r="G125" s="13">
        <f>F125</f>
        <v>-11796.469999999998</v>
      </c>
      <c r="H125" s="13"/>
      <c r="I125" s="45">
        <f>G125-H125</f>
        <v>-11796.469999999998</v>
      </c>
    </row>
    <row r="126" spans="1:9" s="58" customFormat="1" ht="12.75" customHeight="1" collapsed="1" x14ac:dyDescent="0.25">
      <c r="A126" s="54" t="s">
        <v>72</v>
      </c>
      <c r="B126" s="55">
        <f>B125-B124</f>
        <v>0</v>
      </c>
      <c r="C126" s="55">
        <f>C125-C124</f>
        <v>0</v>
      </c>
      <c r="D126" s="55">
        <f>D125-D124</f>
        <v>0</v>
      </c>
      <c r="E126" s="55">
        <f>E125-E124</f>
        <v>0</v>
      </c>
      <c r="F126" s="56">
        <f t="shared" si="21"/>
        <v>0</v>
      </c>
      <c r="G126" s="13"/>
      <c r="H126" s="13"/>
      <c r="I126" s="45"/>
    </row>
    <row r="127" spans="1:9" s="10" customFormat="1" ht="12.75" customHeight="1" x14ac:dyDescent="0.25">
      <c r="A127" s="8" t="s">
        <v>11</v>
      </c>
      <c r="B127" s="13">
        <f>-'[11]October TB 2007'!I200</f>
        <v>0</v>
      </c>
      <c r="C127" s="13">
        <f>-'[11]October TB 2007'!I201</f>
        <v>0</v>
      </c>
      <c r="D127" s="23">
        <f>-'[11]October TB 2007'!I202</f>
        <v>0</v>
      </c>
      <c r="E127" s="23">
        <f>-'[11]October TB 2007'!I203</f>
        <v>0</v>
      </c>
      <c r="F127" s="26">
        <f t="shared" si="21"/>
        <v>0</v>
      </c>
      <c r="G127" s="13">
        <f>F127</f>
        <v>0</v>
      </c>
      <c r="H127" s="13">
        <f>-SUM('[11]October TB 2007'!J200:J203)</f>
        <v>0</v>
      </c>
      <c r="I127" s="45">
        <f>G127-H127</f>
        <v>0</v>
      </c>
    </row>
    <row r="128" spans="1:9" s="10" customFormat="1" ht="12.75" hidden="1" customHeight="1" outlineLevel="1" x14ac:dyDescent="0.25">
      <c r="A128" s="53" t="s">
        <v>67</v>
      </c>
      <c r="B128" s="13">
        <f>B107</f>
        <v>0</v>
      </c>
      <c r="C128" s="13">
        <f>C107</f>
        <v>0</v>
      </c>
      <c r="D128" s="13">
        <f>D107</f>
        <v>0</v>
      </c>
      <c r="E128" s="13">
        <f>E107</f>
        <v>0</v>
      </c>
      <c r="F128" s="26">
        <f t="shared" si="21"/>
        <v>0</v>
      </c>
      <c r="G128" s="13">
        <f>F128</f>
        <v>0</v>
      </c>
      <c r="H128" s="13"/>
      <c r="I128" s="45">
        <f>G128-H128</f>
        <v>0</v>
      </c>
    </row>
    <row r="129" spans="1:9" s="10" customFormat="1" ht="12.75" hidden="1" customHeight="1" outlineLevel="1" x14ac:dyDescent="0.25">
      <c r="A129" s="53" t="s">
        <v>66</v>
      </c>
      <c r="B129" s="13">
        <f>'[11]Sep 07 TB (most recent)'!D24</f>
        <v>0</v>
      </c>
      <c r="C129" s="13">
        <f>'[11]Sep 07 TB (most recent)'!D25</f>
        <v>0</v>
      </c>
      <c r="D129" s="23">
        <f>'[11]Sep 07 TB (most recent)'!D26</f>
        <v>0</v>
      </c>
      <c r="E129" s="23">
        <f>'[11]Sep 07 TB (most recent)'!D27</f>
        <v>0</v>
      </c>
      <c r="F129" s="26">
        <f t="shared" si="21"/>
        <v>0</v>
      </c>
      <c r="G129" s="13">
        <f>F129</f>
        <v>0</v>
      </c>
      <c r="H129" s="13"/>
      <c r="I129" s="45">
        <f>G129-H129</f>
        <v>0</v>
      </c>
    </row>
    <row r="130" spans="1:9" s="58" customFormat="1" ht="12.75" customHeight="1" collapsed="1" x14ac:dyDescent="0.25">
      <c r="A130" s="54" t="s">
        <v>74</v>
      </c>
      <c r="B130" s="57">
        <f>B129-B128</f>
        <v>0</v>
      </c>
      <c r="C130" s="57">
        <f>C129-C128</f>
        <v>0</v>
      </c>
      <c r="D130" s="57">
        <f>D129-D128</f>
        <v>0</v>
      </c>
      <c r="E130" s="57">
        <f>E129-E128</f>
        <v>0</v>
      </c>
      <c r="F130" s="56">
        <f t="shared" si="21"/>
        <v>0</v>
      </c>
      <c r="G130" s="13"/>
      <c r="H130" s="13"/>
      <c r="I130" s="45"/>
    </row>
    <row r="131" spans="1:9" s="10" customFormat="1" ht="12.75" customHeight="1" x14ac:dyDescent="0.25">
      <c r="A131" s="8" t="s">
        <v>75</v>
      </c>
      <c r="B131" s="13">
        <f>-'[11]October TB 2007'!I240</f>
        <v>-1524913.45</v>
      </c>
      <c r="C131" s="13">
        <f>-'[11]October TB 2007'!I241</f>
        <v>31883.34</v>
      </c>
      <c r="D131" s="13">
        <f>-'[11]October TB 2007'!I242</f>
        <v>-62592.639999999999</v>
      </c>
      <c r="E131" s="13">
        <f>-'[11]October TB 2007'!I243</f>
        <v>-95634.26</v>
      </c>
      <c r="F131" s="13">
        <f t="shared" si="21"/>
        <v>-1651257.0099999998</v>
      </c>
      <c r="G131" s="13">
        <f>F131</f>
        <v>-1651257.0099999998</v>
      </c>
      <c r="H131" s="13">
        <f>-SUM('[11]October TB 2007'!J240:J243)</f>
        <v>-1651257.0099999998</v>
      </c>
      <c r="I131" s="45">
        <f>G131-H131</f>
        <v>0</v>
      </c>
    </row>
    <row r="132" spans="1:9" s="10" customFormat="1" ht="12.75" hidden="1" customHeight="1" outlineLevel="1" x14ac:dyDescent="0.25">
      <c r="A132" s="53" t="s">
        <v>55</v>
      </c>
      <c r="B132" s="13">
        <f>B108</f>
        <v>-25665573.260000002</v>
      </c>
      <c r="C132" s="13">
        <f>C108</f>
        <v>-1851940.88</v>
      </c>
      <c r="D132" s="13">
        <f>D108</f>
        <v>-260118.78</v>
      </c>
      <c r="E132" s="13">
        <f>E108</f>
        <v>-358294.55</v>
      </c>
      <c r="F132" s="13">
        <f t="shared" si="21"/>
        <v>-28135927.470000003</v>
      </c>
      <c r="G132" s="13">
        <f>F132</f>
        <v>-28135927.470000003</v>
      </c>
      <c r="H132" s="13"/>
      <c r="I132" s="45">
        <f>G132-H132</f>
        <v>-28135927.470000003</v>
      </c>
    </row>
    <row r="133" spans="1:9" s="10" customFormat="1" ht="12.75" hidden="1" customHeight="1" outlineLevel="1" x14ac:dyDescent="0.25">
      <c r="A133" s="53" t="s">
        <v>56</v>
      </c>
      <c r="B133" s="13">
        <f>'[11]Sep 07 TB (most recent)'!D31</f>
        <v>-23514798.699999999</v>
      </c>
      <c r="C133" s="13">
        <f>'[11]Sep 07 TB (most recent)'!D32</f>
        <v>-11923370.02</v>
      </c>
      <c r="D133" s="23">
        <f>'[11]Sep 07 TB (most recent)'!D33</f>
        <v>2204328.86</v>
      </c>
      <c r="E133" s="23">
        <f>'[11]Sep 07 TB (most recent)'!D34</f>
        <v>184598.5</v>
      </c>
      <c r="F133" s="13">
        <f t="shared" si="21"/>
        <v>-33049241.359999999</v>
      </c>
      <c r="G133" s="13">
        <f>F133</f>
        <v>-33049241.359999999</v>
      </c>
      <c r="H133" s="13"/>
      <c r="I133" s="45">
        <f>G133-H133</f>
        <v>-33049241.359999999</v>
      </c>
    </row>
    <row r="134" spans="1:9" s="58" customFormat="1" ht="12.75" customHeight="1" collapsed="1" x14ac:dyDescent="0.25">
      <c r="A134" s="54" t="s">
        <v>76</v>
      </c>
      <c r="B134" s="57">
        <f>B133-B132</f>
        <v>2150774.5600000024</v>
      </c>
      <c r="C134" s="57">
        <f>C133-C132</f>
        <v>-10071429.140000001</v>
      </c>
      <c r="D134" s="57">
        <f>D133-D132</f>
        <v>2464447.6399999997</v>
      </c>
      <c r="E134" s="57">
        <f>E133-E132</f>
        <v>542893.05000000005</v>
      </c>
      <c r="F134" s="57">
        <f t="shared" si="21"/>
        <v>-4913313.8899999987</v>
      </c>
      <c r="G134" s="13"/>
      <c r="H134" s="13"/>
      <c r="I134" s="45"/>
    </row>
    <row r="135" spans="1:9" s="10" customFormat="1" ht="12.75" customHeight="1" x14ac:dyDescent="0.25">
      <c r="A135" s="8" t="s">
        <v>13</v>
      </c>
      <c r="B135" s="13">
        <f>-'[11]October TB 2007'!I227-'[11]October TB 2007'!I236</f>
        <v>-242733694.45999998</v>
      </c>
      <c r="C135" s="13">
        <f>-'[11]October TB 2007'!I228-'[11]October TB 2007'!I237</f>
        <v>-372636762</v>
      </c>
      <c r="D135" s="13">
        <f>-'[11]October TB 2007'!I229-'[11]October TB 2007'!I238</f>
        <v>-69284736</v>
      </c>
      <c r="E135" s="13">
        <f>-'[11]October TB 2007'!I230-'[11]October TB 2007'!I239</f>
        <v>-2324346.7400000002</v>
      </c>
      <c r="F135" s="26">
        <f t="shared" si="21"/>
        <v>-686979539.20000005</v>
      </c>
      <c r="G135" s="13">
        <f>F135</f>
        <v>-686979539.20000005</v>
      </c>
      <c r="H135" s="13">
        <f>-SUM('[11]October TB 2007'!J227:J230)-SUM('[11]October TB 2007'!J236:J239)</f>
        <v>-686979539.19999993</v>
      </c>
      <c r="I135" s="45">
        <f>G135-H135</f>
        <v>0</v>
      </c>
    </row>
    <row r="136" spans="1:9" s="10" customFormat="1" ht="12.75" hidden="1" customHeight="1" outlineLevel="1" x14ac:dyDescent="0.25">
      <c r="A136" s="53" t="s">
        <v>57</v>
      </c>
      <c r="B136" s="13">
        <f>B109</f>
        <v>-129345528.81</v>
      </c>
      <c r="C136" s="13">
        <f>C109</f>
        <v>-358971924</v>
      </c>
      <c r="D136" s="13">
        <f>D109</f>
        <v>-69608452</v>
      </c>
      <c r="E136" s="13">
        <f>E109</f>
        <v>-4407272.9799999995</v>
      </c>
      <c r="F136" s="26">
        <f t="shared" si="21"/>
        <v>-562333177.78999996</v>
      </c>
      <c r="G136" s="13">
        <f>F136</f>
        <v>-562333177.78999996</v>
      </c>
      <c r="H136" s="13"/>
      <c r="I136" s="45">
        <f>G136-H136</f>
        <v>-562333177.78999996</v>
      </c>
    </row>
    <row r="137" spans="1:9" s="10" customFormat="1" ht="12.75" hidden="1" customHeight="1" outlineLevel="1" x14ac:dyDescent="0.25">
      <c r="A137" s="53" t="s">
        <v>58</v>
      </c>
      <c r="B137" s="13">
        <f>'[11]Sep 07 TB (most recent)'!D37</f>
        <v>-129345528.81</v>
      </c>
      <c r="C137" s="13">
        <f>'[11]Sep 07 TB (most recent)'!D38</f>
        <v>-358971924</v>
      </c>
      <c r="D137" s="13">
        <f>'[11]Sep 07 TB (most recent)'!D39</f>
        <v>-69608452</v>
      </c>
      <c r="E137" s="13">
        <f>'[11]Sep 07 TB (most recent)'!D40</f>
        <v>-4413886.8899999997</v>
      </c>
      <c r="F137" s="26">
        <f t="shared" si="21"/>
        <v>-562339791.69999993</v>
      </c>
      <c r="G137" s="13">
        <f>F137</f>
        <v>-562339791.69999993</v>
      </c>
      <c r="H137" s="13"/>
      <c r="I137" s="45">
        <f>G137-H137</f>
        <v>-562339791.69999993</v>
      </c>
    </row>
    <row r="138" spans="1:9" s="58" customFormat="1" ht="12.75" customHeight="1" collapsed="1" x14ac:dyDescent="0.25">
      <c r="A138" s="54" t="s">
        <v>59</v>
      </c>
      <c r="B138" s="57">
        <f>B137-B136</f>
        <v>0</v>
      </c>
      <c r="C138" s="57">
        <f>C137-C136</f>
        <v>0</v>
      </c>
      <c r="D138" s="57">
        <f>D137-D136</f>
        <v>0</v>
      </c>
      <c r="E138" s="57">
        <f>E137-E136</f>
        <v>-6613.910000000149</v>
      </c>
      <c r="F138" s="56">
        <f t="shared" si="21"/>
        <v>-6613.910000000149</v>
      </c>
      <c r="G138" s="13"/>
      <c r="H138" s="13"/>
      <c r="I138" s="45"/>
    </row>
    <row r="139" spans="1:9" s="10" customFormat="1" ht="12.75" customHeight="1" x14ac:dyDescent="0.25">
      <c r="A139" s="8" t="s">
        <v>14</v>
      </c>
      <c r="B139" s="23">
        <f>-'[11]October TB 2007'!I232</f>
        <v>-4416949.38</v>
      </c>
      <c r="C139" s="23">
        <f>-'[11]October TB 2007'!I233</f>
        <v>-2499438.54</v>
      </c>
      <c r="D139" s="23">
        <f>-'[11]October TB 2007'!I234</f>
        <v>-575967.57999999996</v>
      </c>
      <c r="E139" s="23">
        <f>-'[11]October TB 2007'!I235</f>
        <v>-205538.36</v>
      </c>
      <c r="F139" s="26">
        <f t="shared" si="21"/>
        <v>-7697893.8600000003</v>
      </c>
      <c r="G139" s="13">
        <f>F139</f>
        <v>-7697893.8600000003</v>
      </c>
      <c r="H139" s="13">
        <f>-SUM('[11]October TB 2007'!J232:J235)</f>
        <v>-7697893.8600000003</v>
      </c>
      <c r="I139" s="45">
        <f>G139-H139</f>
        <v>0</v>
      </c>
    </row>
    <row r="140" spans="1:9" s="10" customFormat="1" ht="12.75" hidden="1" customHeight="1" outlineLevel="1" x14ac:dyDescent="0.25">
      <c r="A140" s="53" t="s">
        <v>60</v>
      </c>
      <c r="B140" s="23">
        <f>B110</f>
        <v>-6019776.9299999997</v>
      </c>
      <c r="C140" s="23">
        <f>C110</f>
        <v>1243332.3600000001</v>
      </c>
      <c r="D140" s="23">
        <f>D110</f>
        <v>-620362.55000000005</v>
      </c>
      <c r="E140" s="23">
        <f>E110</f>
        <v>-1278626.7</v>
      </c>
      <c r="F140" s="26">
        <f t="shared" si="21"/>
        <v>-6675433.8199999994</v>
      </c>
      <c r="G140" s="13">
        <f>F140</f>
        <v>-6675433.8199999994</v>
      </c>
      <c r="H140" s="13"/>
      <c r="I140" s="45">
        <f>G140-H140</f>
        <v>-6675433.8199999994</v>
      </c>
    </row>
    <row r="141" spans="1:9" s="10" customFormat="1" ht="12.75" hidden="1" customHeight="1" outlineLevel="1" x14ac:dyDescent="0.25">
      <c r="A141" s="53" t="s">
        <v>61</v>
      </c>
      <c r="B141" s="23">
        <f>'[11]Sep 07 TB (most recent)'!D45</f>
        <v>-6019776.9299999997</v>
      </c>
      <c r="C141" s="23">
        <f>'[11]Sep 07 TB (most recent)'!D46</f>
        <v>1243332.3600000001</v>
      </c>
      <c r="D141" s="23">
        <f>'[11]Sep 07 TB (most recent)'!D47</f>
        <v>-620362.55000000005</v>
      </c>
      <c r="E141" s="23">
        <f>'[11]Sep 07 TB (most recent)'!D48</f>
        <v>-1278626.7</v>
      </c>
      <c r="F141" s="26">
        <f t="shared" si="21"/>
        <v>-6675433.8199999994</v>
      </c>
      <c r="G141" s="13">
        <f>F141</f>
        <v>-6675433.8199999994</v>
      </c>
      <c r="H141" s="13"/>
      <c r="I141" s="45">
        <f>G141-H141</f>
        <v>-6675433.8199999994</v>
      </c>
    </row>
    <row r="142" spans="1:9" s="58" customFormat="1" ht="12.75" customHeight="1" collapsed="1" x14ac:dyDescent="0.25">
      <c r="A142" s="54" t="s">
        <v>62</v>
      </c>
      <c r="B142" s="59">
        <f>B141-B140</f>
        <v>0</v>
      </c>
      <c r="C142" s="59">
        <f>C141-C140</f>
        <v>0</v>
      </c>
      <c r="D142" s="59">
        <f>D141-D140</f>
        <v>0</v>
      </c>
      <c r="E142" s="59">
        <f>E141-E140</f>
        <v>0</v>
      </c>
      <c r="F142" s="56">
        <f t="shared" si="21"/>
        <v>0</v>
      </c>
      <c r="G142" s="13"/>
      <c r="H142" s="13"/>
      <c r="I142" s="45"/>
    </row>
    <row r="143" spans="1:9" s="10" customFormat="1" ht="12.75" customHeight="1" x14ac:dyDescent="0.25">
      <c r="A143" s="8" t="s">
        <v>15</v>
      </c>
      <c r="B143" s="23">
        <f>-'[11]October TB 2007'!I184-'[11]October TB 2007'!I188</f>
        <v>16444312.51</v>
      </c>
      <c r="C143" s="23">
        <f>-'[11]October TB 2007'!I185-'[11]October TB 2007'!I189</f>
        <v>2147500.0499999998</v>
      </c>
      <c r="D143" s="23">
        <f>-'[11]October TB 2007'!I186-'[11]October TB 2007'!I190</f>
        <v>710482.35</v>
      </c>
      <c r="E143" s="23">
        <f>-'[11]October TB 2007'!I187-'[11]October TB 2007'!I191</f>
        <v>667257.50999999989</v>
      </c>
      <c r="F143" s="26">
        <f t="shared" si="21"/>
        <v>19969552.420000002</v>
      </c>
      <c r="G143" s="13">
        <f>F143</f>
        <v>19969552.420000002</v>
      </c>
      <c r="H143" s="13">
        <f>-SUM('[11]October TB 2007'!J184:J191)</f>
        <v>19969552.420000002</v>
      </c>
      <c r="I143" s="45">
        <f>G143-H143</f>
        <v>0</v>
      </c>
    </row>
    <row r="144" spans="1:9" s="10" customFormat="1" ht="12.75" hidden="1" customHeight="1" outlineLevel="1" x14ac:dyDescent="0.25">
      <c r="A144" s="53" t="s">
        <v>63</v>
      </c>
      <c r="B144" s="23">
        <f>B111</f>
        <v>16387188.309999999</v>
      </c>
      <c r="C144" s="23">
        <f>C111</f>
        <v>1883430.39</v>
      </c>
      <c r="D144" s="23">
        <f>D111</f>
        <v>758323.6</v>
      </c>
      <c r="E144" s="23">
        <f>E111</f>
        <v>615453.27</v>
      </c>
      <c r="F144" s="26">
        <f t="shared" si="21"/>
        <v>19644395.57</v>
      </c>
      <c r="G144" s="13"/>
    </row>
    <row r="145" spans="1:9" s="10" customFormat="1" ht="12.75" hidden="1" customHeight="1" outlineLevel="1" x14ac:dyDescent="0.25">
      <c r="A145" s="53" t="s">
        <v>64</v>
      </c>
      <c r="B145" s="23">
        <f>'[11]Sep 07 TB (most recent)'!D51</f>
        <v>16387188.310000001</v>
      </c>
      <c r="C145" s="23">
        <f>'[11]Sep 07 TB (most recent)'!D52</f>
        <v>1883430.39</v>
      </c>
      <c r="D145" s="23">
        <f>'[11]Sep 07 TB (most recent)'!D53</f>
        <v>758323.6</v>
      </c>
      <c r="E145" s="23">
        <f>'[11]Sep 07 TB (most recent)'!D54</f>
        <v>615453.27</v>
      </c>
      <c r="F145" s="26">
        <f t="shared" si="21"/>
        <v>19644395.57</v>
      </c>
      <c r="G145" s="13"/>
    </row>
    <row r="146" spans="1:9" s="58" customFormat="1" ht="12.75" customHeight="1" collapsed="1" x14ac:dyDescent="0.25">
      <c r="A146" s="54" t="s">
        <v>65</v>
      </c>
      <c r="B146" s="59">
        <f>B145-B144</f>
        <v>0</v>
      </c>
      <c r="C146" s="59">
        <f>C145-C144</f>
        <v>0</v>
      </c>
      <c r="D146" s="59">
        <f>D145-D144</f>
        <v>0</v>
      </c>
      <c r="E146" s="59">
        <f>E145-E144</f>
        <v>0</v>
      </c>
      <c r="F146" s="56">
        <f t="shared" si="21"/>
        <v>0</v>
      </c>
      <c r="G146" s="57"/>
    </row>
    <row r="147" spans="1:9" s="20" customFormat="1" ht="12.75" customHeight="1" thickBot="1" x14ac:dyDescent="0.3">
      <c r="A147" s="16" t="s">
        <v>16</v>
      </c>
      <c r="B147" s="17">
        <f>B112+B118+B119+B122+B123+B126+B127+B130+B131+B134+B135+B138+B139+B142+B143+B146</f>
        <v>4400127362.1343718</v>
      </c>
      <c r="C147" s="17">
        <f>C112+C118+C119+C122+C123+C126+C127+C130+C131+C134+C135+C138+C139+C142+C143+C146</f>
        <v>458273340.91157651</v>
      </c>
      <c r="D147" s="17">
        <f>D112+D118+D119+D122+D123+D126+D127+D130+D131+D134+D135+D138+D139+D142+D143+D146</f>
        <v>82783240.006124839</v>
      </c>
      <c r="E147" s="17">
        <f>E112+E118+E119+E122+E123+E126+E127+E130+E131+E134+E135+E138+E139+E142+E143+E146</f>
        <v>138046054.25502327</v>
      </c>
      <c r="F147" s="17">
        <f>F112+F118+F119+F122+F123+F126+F127+F130+F131+F134+F135+F138+F139+F142+F143+F146</f>
        <v>5079229997.3070955</v>
      </c>
      <c r="G147" s="19"/>
      <c r="H147" s="52"/>
    </row>
    <row r="148" spans="1:9" s="20" customFormat="1" ht="12.75" customHeight="1" thickTop="1" x14ac:dyDescent="0.25">
      <c r="A148" s="16"/>
      <c r="B148" s="60"/>
      <c r="C148" s="60"/>
      <c r="D148" s="60"/>
      <c r="E148" s="60"/>
      <c r="F148" s="60"/>
      <c r="G148" s="19"/>
    </row>
    <row r="149" spans="1:9" s="20" customFormat="1" ht="12.75" customHeight="1" x14ac:dyDescent="0.25">
      <c r="A149" s="16"/>
      <c r="B149" s="60"/>
      <c r="C149" s="60"/>
      <c r="D149" s="60"/>
      <c r="E149" s="60"/>
      <c r="F149" s="60"/>
      <c r="G149" s="19"/>
    </row>
    <row r="150" spans="1:9" s="20" customFormat="1" ht="12.75" customHeight="1" x14ac:dyDescent="0.25">
      <c r="A150" s="16"/>
      <c r="B150" s="60"/>
      <c r="C150" s="60"/>
      <c r="D150" s="60"/>
      <c r="E150" s="60"/>
      <c r="F150" s="60"/>
      <c r="G150" s="19"/>
    </row>
    <row r="151" spans="1:9" s="10" customFormat="1" ht="12.75" customHeight="1" x14ac:dyDescent="0.25">
      <c r="A151" s="8"/>
      <c r="B151" s="13"/>
      <c r="C151" s="13"/>
      <c r="F151" s="13"/>
      <c r="G151" s="19" t="s">
        <v>32</v>
      </c>
      <c r="H151" s="19" t="s">
        <v>32</v>
      </c>
      <c r="I151" s="19" t="s">
        <v>33</v>
      </c>
    </row>
    <row r="152" spans="1:9" s="10" customFormat="1" ht="12.75" customHeight="1" x14ac:dyDescent="0.25">
      <c r="A152" s="15" t="s">
        <v>26</v>
      </c>
      <c r="B152" s="21"/>
      <c r="C152" s="21"/>
      <c r="D152" s="22"/>
      <c r="E152" s="22"/>
      <c r="F152" s="21"/>
      <c r="G152" s="19" t="s">
        <v>44</v>
      </c>
      <c r="H152" s="20" t="s">
        <v>45</v>
      </c>
    </row>
    <row r="153" spans="1:9" s="122" customFormat="1" ht="12.75" customHeight="1" x14ac:dyDescent="0.25">
      <c r="A153" s="122" t="s">
        <v>8</v>
      </c>
      <c r="B153" s="124">
        <f>-'[11]November TB'!F197</f>
        <v>169782328.40000001</v>
      </c>
      <c r="C153" s="124">
        <f>-'[11]November TB'!F198</f>
        <v>369780465.60000002</v>
      </c>
      <c r="D153" s="124">
        <f>-'[11]November TB'!F199</f>
        <v>74586044.969999999</v>
      </c>
      <c r="E153" s="124">
        <f>-'[11]November TB'!F200</f>
        <v>9384997.4100000001</v>
      </c>
      <c r="F153" s="124">
        <f t="shared" ref="F153:F161" si="22">SUM(B153:E153)</f>
        <v>623533836.38</v>
      </c>
      <c r="G153" s="123">
        <f>G118+F153</f>
        <v>1250434365.73</v>
      </c>
      <c r="H153" s="127">
        <f>-SUM('[11]November TB'!G197:G200)</f>
        <v>1250434365.73</v>
      </c>
      <c r="I153" s="126">
        <f t="shared" ref="I153:I160" si="23">G153-H153</f>
        <v>0</v>
      </c>
    </row>
    <row r="154" spans="1:9" s="10" customFormat="1" ht="12.75" customHeight="1" x14ac:dyDescent="0.25">
      <c r="A154" s="8" t="s">
        <v>9</v>
      </c>
      <c r="B154" s="14">
        <f>-'[11]November TB'!F185-'[11]November TB'!F202</f>
        <v>103333.89</v>
      </c>
      <c r="C154" s="14">
        <f>-'[11]November TB'!F186</f>
        <v>225352.02</v>
      </c>
      <c r="D154" s="14">
        <f>-'[11]November TB'!F187+'[11]November TB'!F203</f>
        <v>45343.59</v>
      </c>
      <c r="E154" s="14">
        <f>-'[11]November TB'!F188-'[11]November TB'!F205</f>
        <v>5735.32</v>
      </c>
      <c r="F154" s="14">
        <f t="shared" si="22"/>
        <v>379764.82</v>
      </c>
      <c r="G154" s="13">
        <f>G119+F154</f>
        <v>645331.35</v>
      </c>
      <c r="H154" s="23">
        <f>-SUM('[11]November TB'!G185:G188)</f>
        <v>645331.35000000009</v>
      </c>
      <c r="I154" s="45">
        <f t="shared" si="23"/>
        <v>0</v>
      </c>
    </row>
    <row r="155" spans="1:9" s="10" customFormat="1" ht="12.75" customHeight="1" x14ac:dyDescent="0.25">
      <c r="A155" s="8" t="s">
        <v>10</v>
      </c>
      <c r="B155" s="14">
        <f>-'[11]November TB'!F189-'[11]November TB'!F206</f>
        <v>-8221.7999999999993</v>
      </c>
      <c r="C155" s="14">
        <f>-'[11]November TB'!F190-'[11]November TB'!F207</f>
        <v>-17930.23</v>
      </c>
      <c r="D155" s="13">
        <f>-'[11]November TB'!F191-'[11]November TB'!F204</f>
        <v>-3607.78</v>
      </c>
      <c r="E155" s="13">
        <f>-'[11]November TB'!F192-'[11]November TB'!F209</f>
        <v>-456.27</v>
      </c>
      <c r="F155" s="13">
        <f t="shared" si="22"/>
        <v>-30216.079999999998</v>
      </c>
      <c r="G155" s="13">
        <f>G123+F155</f>
        <v>86819.049999999988</v>
      </c>
      <c r="H155" s="23">
        <f>-SUM('[11]November TB'!G189:G192)</f>
        <v>86819.049999999988</v>
      </c>
      <c r="I155" s="45">
        <f t="shared" si="23"/>
        <v>0</v>
      </c>
    </row>
    <row r="156" spans="1:9" s="10" customFormat="1" ht="12.75" customHeight="1" x14ac:dyDescent="0.25">
      <c r="A156" s="8" t="s">
        <v>11</v>
      </c>
      <c r="B156" s="13">
        <f>'[11]November TB'!F193</f>
        <v>0</v>
      </c>
      <c r="C156" s="13">
        <f>'[11]November TB'!F194</f>
        <v>0</v>
      </c>
      <c r="D156" s="13">
        <f>'[11]November TB'!F195</f>
        <v>0</v>
      </c>
      <c r="E156" s="13">
        <f>'[11]November TB'!F196</f>
        <v>0</v>
      </c>
      <c r="F156" s="13">
        <f t="shared" si="22"/>
        <v>0</v>
      </c>
      <c r="G156" s="13">
        <f>G127+F156</f>
        <v>0</v>
      </c>
      <c r="H156" s="13">
        <f>H127+G156</f>
        <v>0</v>
      </c>
      <c r="I156" s="13">
        <f>I127+H156</f>
        <v>0</v>
      </c>
    </row>
    <row r="157" spans="1:9" s="10" customFormat="1" ht="12.75" customHeight="1" x14ac:dyDescent="0.25">
      <c r="A157" s="8" t="s">
        <v>12</v>
      </c>
      <c r="B157" s="13">
        <f>-'[11]November TB'!F233</f>
        <v>-1002356.42</v>
      </c>
      <c r="C157" s="13">
        <f>-'[11]November TB'!F234</f>
        <v>-438472.06</v>
      </c>
      <c r="D157" s="13">
        <f>-'[11]November TB'!F235</f>
        <v>-957316.34</v>
      </c>
      <c r="E157" s="13">
        <f>-'[11]November TB'!F236</f>
        <v>-131352.20000000001</v>
      </c>
      <c r="F157" s="13">
        <f t="shared" si="22"/>
        <v>-2529497.02</v>
      </c>
      <c r="G157" s="13">
        <f>G131+F157</f>
        <v>-4180754.03</v>
      </c>
      <c r="H157" s="23">
        <f>-SUM('[11]November TB'!G233:G236)</f>
        <v>-4180754.03</v>
      </c>
      <c r="I157" s="45">
        <f t="shared" si="23"/>
        <v>0</v>
      </c>
    </row>
    <row r="158" spans="1:9" s="10" customFormat="1" ht="12.75" customHeight="1" x14ac:dyDescent="0.25">
      <c r="A158" s="8" t="s">
        <v>13</v>
      </c>
      <c r="B158" s="13">
        <f>-'[11]November TB'!F220-'[11]November TB'!F229</f>
        <v>-166420066.24000001</v>
      </c>
      <c r="C158" s="13">
        <f>-'[11]November TB'!F221-'[11]November TB'!F230</f>
        <v>-370243241</v>
      </c>
      <c r="D158" s="13">
        <f>-'[11]November TB'!F222-'[11]November TB'!F231</f>
        <v>-66937860</v>
      </c>
      <c r="E158" s="13">
        <f>-'[11]November TB'!F223-'[11]November TB'!F232</f>
        <v>-1466399.38</v>
      </c>
      <c r="F158" s="13">
        <f t="shared" si="22"/>
        <v>-605067566.62</v>
      </c>
      <c r="G158" s="13">
        <f>G135+F158</f>
        <v>-1292047105.8200002</v>
      </c>
      <c r="H158" s="23">
        <f>-SUM('[11]November TB'!G220:G223)-SUM('[11]November TB'!G229:G232)</f>
        <v>-1292047105.8200002</v>
      </c>
      <c r="I158" s="45">
        <f t="shared" si="23"/>
        <v>0</v>
      </c>
    </row>
    <row r="159" spans="1:9" s="10" customFormat="1" ht="12.75" customHeight="1" x14ac:dyDescent="0.25">
      <c r="A159" s="8" t="s">
        <v>14</v>
      </c>
      <c r="B159" s="23">
        <f>-'[11]November TB'!F225</f>
        <v>-4966092.6399999997</v>
      </c>
      <c r="C159" s="13">
        <f>-'[11]November TB'!F226</f>
        <v>-1414293.75</v>
      </c>
      <c r="D159" s="13">
        <f>-'[11]November TB'!F227</f>
        <v>-613355.82999999996</v>
      </c>
      <c r="E159" s="13">
        <f>-'[11]November TB'!F228</f>
        <v>-483391.05</v>
      </c>
      <c r="F159" s="13">
        <f t="shared" si="22"/>
        <v>-7477133.2699999996</v>
      </c>
      <c r="G159" s="13">
        <f>G139+F159</f>
        <v>-15175027.129999999</v>
      </c>
      <c r="H159" s="23">
        <f>-SUM('[11]November TB'!G225:G228)</f>
        <v>-15175027.129999999</v>
      </c>
      <c r="I159" s="45">
        <f t="shared" si="23"/>
        <v>0</v>
      </c>
    </row>
    <row r="160" spans="1:9" s="10" customFormat="1" ht="12.75" customHeight="1" x14ac:dyDescent="0.25">
      <c r="A160" s="8" t="s">
        <v>15</v>
      </c>
      <c r="B160" s="61">
        <f>-'[11]November TB'!F177-'[11]November TB'!F181</f>
        <v>14543341.01</v>
      </c>
      <c r="C160" s="13">
        <f>-'[11]November TB'!F178-'[11]November TB'!F182</f>
        <v>1921619.8499999999</v>
      </c>
      <c r="D160" s="61">
        <f>-'[11]November TB'!F179-'[11]November TB'!F183</f>
        <v>615024.49</v>
      </c>
      <c r="E160" s="61">
        <f>-'[11]November TB'!F180-'[11]November TB'!F184</f>
        <v>625978.35000000009</v>
      </c>
      <c r="F160" s="14">
        <f t="shared" si="22"/>
        <v>17705963.699999999</v>
      </c>
      <c r="G160" s="13">
        <f>G143+F160</f>
        <v>37675516.120000005</v>
      </c>
      <c r="H160" s="23">
        <f>-SUM('[11]November TB'!G177:G184)</f>
        <v>37675516.119999997</v>
      </c>
      <c r="I160" s="45">
        <f t="shared" si="23"/>
        <v>0</v>
      </c>
    </row>
    <row r="161" spans="1:9" s="20" customFormat="1" ht="12.75" customHeight="1" thickBot="1" x14ac:dyDescent="0.3">
      <c r="A161" s="16" t="s">
        <v>16</v>
      </c>
      <c r="B161" s="17">
        <f>SUM(B147:B160)</f>
        <v>4412159628.3343716</v>
      </c>
      <c r="C161" s="17">
        <f>SUM(C147:C160)</f>
        <v>458086841.34157658</v>
      </c>
      <c r="D161" s="17">
        <f>SUM(D147:D160)</f>
        <v>89517513.106124818</v>
      </c>
      <c r="E161" s="17">
        <f>SUM(E147:E160)</f>
        <v>145981166.43502325</v>
      </c>
      <c r="F161" s="18">
        <f t="shared" si="22"/>
        <v>5105745149.2170963</v>
      </c>
      <c r="G161" s="19">
        <f>SUM(G153:G160)</f>
        <v>-22560854.730000257</v>
      </c>
      <c r="H161" s="19">
        <f>SUM(H153:H160)</f>
        <v>-22560854.730000265</v>
      </c>
      <c r="I161" s="45"/>
    </row>
    <row r="162" spans="1:9" s="20" customFormat="1" ht="12.75" customHeight="1" thickTop="1" x14ac:dyDescent="0.25">
      <c r="A162" s="16"/>
      <c r="B162" s="60"/>
      <c r="C162" s="60"/>
      <c r="D162" s="60"/>
      <c r="E162" s="60"/>
      <c r="F162" s="33"/>
      <c r="G162" s="19"/>
      <c r="H162" s="19"/>
      <c r="I162" s="45"/>
    </row>
    <row r="163" spans="1:9" s="20" customFormat="1" ht="12.75" customHeight="1" x14ac:dyDescent="0.25">
      <c r="A163" s="16"/>
      <c r="B163" s="60"/>
      <c r="C163" s="60"/>
      <c r="D163" s="60"/>
      <c r="E163" s="60"/>
      <c r="F163" s="33"/>
      <c r="G163" s="19"/>
      <c r="H163" s="19"/>
      <c r="I163" s="45"/>
    </row>
    <row r="164" spans="1:9" s="20" customFormat="1" ht="12.75" customHeight="1" x14ac:dyDescent="0.25">
      <c r="A164" s="16"/>
      <c r="B164" s="60"/>
      <c r="C164" s="60"/>
      <c r="D164" s="60"/>
      <c r="E164" s="60"/>
      <c r="F164" s="33">
        <f>SUM(F153+F118+F167)</f>
        <v>1876175743.3699999</v>
      </c>
      <c r="G164" s="19"/>
      <c r="H164" s="19"/>
      <c r="I164" s="45"/>
    </row>
    <row r="165" spans="1:9" s="10" customFormat="1" ht="12.75" customHeight="1" x14ac:dyDescent="0.25">
      <c r="A165" s="8"/>
      <c r="B165" s="13"/>
      <c r="C165" s="13"/>
      <c r="F165" s="13"/>
      <c r="G165" s="19" t="s">
        <v>32</v>
      </c>
      <c r="H165" s="19" t="s">
        <v>32</v>
      </c>
      <c r="I165" s="19" t="s">
        <v>33</v>
      </c>
    </row>
    <row r="166" spans="1:9" s="10" customFormat="1" ht="12.75" customHeight="1" x14ac:dyDescent="0.25">
      <c r="A166" s="15" t="s">
        <v>54</v>
      </c>
      <c r="B166" s="21"/>
      <c r="C166" s="21"/>
      <c r="D166" s="22"/>
      <c r="E166" s="22"/>
      <c r="F166" s="21"/>
      <c r="G166" s="19" t="s">
        <v>44</v>
      </c>
      <c r="H166" s="20" t="s">
        <v>45</v>
      </c>
    </row>
    <row r="167" spans="1:9" s="122" customFormat="1" ht="12.75" customHeight="1" x14ac:dyDescent="0.25">
      <c r="A167" s="122" t="s">
        <v>8</v>
      </c>
      <c r="B167" s="124">
        <f>-[21]Sheet1!$F$196</f>
        <v>170348384.93000001</v>
      </c>
      <c r="C167" s="124">
        <f>-[21]Sheet1!$F$197</f>
        <v>371168046.58999997</v>
      </c>
      <c r="D167" s="124">
        <f>-[21]Sheet1!$F$198</f>
        <v>74795606.5</v>
      </c>
      <c r="E167" s="124">
        <f>-[21]Sheet1!$F$199</f>
        <v>9429339.6199999992</v>
      </c>
      <c r="F167" s="124">
        <f t="shared" ref="F167:F175" si="24">SUM(B167:E167)</f>
        <v>625741377.63999999</v>
      </c>
      <c r="G167" s="128">
        <f t="shared" ref="G167:G174" si="25">G153+F167</f>
        <v>1876175743.3699999</v>
      </c>
      <c r="H167" s="127">
        <f>-SUM([21]Sheet1!$G$196:$G$199)</f>
        <v>1876175743.3699999</v>
      </c>
      <c r="I167" s="126">
        <f t="shared" ref="I167:I174" si="26">G167-H167</f>
        <v>0</v>
      </c>
    </row>
    <row r="168" spans="1:9" s="10" customFormat="1" ht="12.75" customHeight="1" x14ac:dyDescent="0.25">
      <c r="A168" s="8" t="s">
        <v>9</v>
      </c>
      <c r="B168" s="14">
        <f>-[21]Sheet1!$F$184</f>
        <v>64636.61</v>
      </c>
      <c r="C168" s="14">
        <f>-[21]Sheet1!$F$185</f>
        <v>140960.54</v>
      </c>
      <c r="D168" s="14">
        <f>-[21]Sheet1!$F$186</f>
        <v>28362.99</v>
      </c>
      <c r="E168" s="14">
        <f>-[21]Sheet1!$F$187</f>
        <v>3587.42</v>
      </c>
      <c r="F168" s="14">
        <f t="shared" si="24"/>
        <v>237547.56000000003</v>
      </c>
      <c r="G168" s="63">
        <f t="shared" si="25"/>
        <v>882878.91</v>
      </c>
      <c r="H168" s="23">
        <f>-SUM([21]Sheet1!$G$184:$G$187)</f>
        <v>882878.91</v>
      </c>
      <c r="I168" s="45">
        <f t="shared" si="26"/>
        <v>0</v>
      </c>
    </row>
    <row r="169" spans="1:9" s="10" customFormat="1" ht="12.75" customHeight="1" x14ac:dyDescent="0.25">
      <c r="A169" s="8" t="s">
        <v>10</v>
      </c>
      <c r="B169" s="14">
        <f>-[21]Sheet1!$F$188</f>
        <v>-1072.55</v>
      </c>
      <c r="C169" s="14">
        <f>-[21]Sheet1!$F$189</f>
        <v>-2338.9499999999998</v>
      </c>
      <c r="D169" s="14">
        <f>-[21]Sheet1!$F$190</f>
        <v>-470.61</v>
      </c>
      <c r="E169" s="14">
        <f>-[21]Sheet1!$F$191</f>
        <v>-59.51</v>
      </c>
      <c r="F169" s="14">
        <f t="shared" si="24"/>
        <v>-3941.6200000000003</v>
      </c>
      <c r="G169" s="63">
        <f t="shared" si="25"/>
        <v>82877.429999999993</v>
      </c>
      <c r="H169" s="23">
        <f>-SUM([21]Sheet1!$G$188:$G$191)</f>
        <v>82877.430000000008</v>
      </c>
      <c r="I169" s="45">
        <f t="shared" si="26"/>
        <v>0</v>
      </c>
    </row>
    <row r="170" spans="1:9" s="10" customFormat="1" ht="12.75" customHeight="1" x14ac:dyDescent="0.25">
      <c r="A170" s="8" t="s">
        <v>11</v>
      </c>
      <c r="B170" s="14">
        <f>-[21]Sheet1!$F$192</f>
        <v>0</v>
      </c>
      <c r="C170" s="14">
        <f>-[21]Sheet1!$F$193</f>
        <v>0</v>
      </c>
      <c r="D170" s="14">
        <f>-[21]Sheet1!$F$194</f>
        <v>0</v>
      </c>
      <c r="E170" s="14">
        <f>-[21]Sheet1!$F$195</f>
        <v>0</v>
      </c>
      <c r="F170" s="14">
        <f t="shared" si="24"/>
        <v>0</v>
      </c>
      <c r="G170" s="63">
        <f t="shared" si="25"/>
        <v>0</v>
      </c>
      <c r="H170" s="23">
        <f>-SUM([21]Sheet1!$G$192:$G$195)</f>
        <v>0</v>
      </c>
      <c r="I170" s="45">
        <f t="shared" si="26"/>
        <v>0</v>
      </c>
    </row>
    <row r="171" spans="1:9" s="10" customFormat="1" ht="12.75" customHeight="1" x14ac:dyDescent="0.25">
      <c r="A171" s="8" t="s">
        <v>12</v>
      </c>
      <c r="B171" s="14">
        <f>-[21]Sheet1!$F$232</f>
        <v>-2004969.1</v>
      </c>
      <c r="C171" s="14">
        <f>-[21]Sheet1!$F$233</f>
        <v>4942343.13</v>
      </c>
      <c r="D171" s="14">
        <f>-[21]Sheet1!$F$234</f>
        <v>-4399598.78</v>
      </c>
      <c r="E171" s="14">
        <f>-[21]Sheet1!$F$235</f>
        <v>1363981.75</v>
      </c>
      <c r="F171" s="14">
        <f t="shared" si="24"/>
        <v>-98243.000000000466</v>
      </c>
      <c r="G171" s="63">
        <f t="shared" si="25"/>
        <v>-4278997.03</v>
      </c>
      <c r="H171" s="23">
        <f>-SUM([21]Sheet1!$G$232:$G$235)</f>
        <v>-4278997.0299999993</v>
      </c>
      <c r="I171" s="45">
        <f t="shared" si="26"/>
        <v>0</v>
      </c>
    </row>
    <row r="172" spans="1:9" s="10" customFormat="1" ht="12.75" customHeight="1" x14ac:dyDescent="0.25">
      <c r="A172" s="8" t="s">
        <v>13</v>
      </c>
      <c r="B172" s="14">
        <f>-[21]Sheet1!$F$219-[21]Sheet1!$F$228</f>
        <v>-118052938.41</v>
      </c>
      <c r="C172" s="14">
        <f>-[21]Sheet1!$F$220-[21]Sheet1!$F$229</f>
        <v>-373025718.13999999</v>
      </c>
      <c r="D172" s="14">
        <f>-[21]Sheet1!$F$221-[21]Sheet1!$F$230</f>
        <v>-67037028.170000002</v>
      </c>
      <c r="E172" s="14">
        <f>-[21]Sheet1!$F$222-[21]Sheet1!$F$231</f>
        <v>-6371364.0499999998</v>
      </c>
      <c r="F172" s="14">
        <f t="shared" si="24"/>
        <v>-564487048.76999986</v>
      </c>
      <c r="G172" s="63">
        <f t="shared" si="25"/>
        <v>-1856534154.5900002</v>
      </c>
      <c r="H172" s="23">
        <f>-SUM([11]DecemberTB!G219:G222,[11]DecemberTB!G228:G231)</f>
        <v>-1856534154.5900002</v>
      </c>
      <c r="I172" s="45">
        <f t="shared" si="26"/>
        <v>0</v>
      </c>
    </row>
    <row r="173" spans="1:9" s="10" customFormat="1" ht="12.75" customHeight="1" x14ac:dyDescent="0.25">
      <c r="A173" s="8" t="s">
        <v>14</v>
      </c>
      <c r="B173" s="14">
        <f>-[21]Sheet1!$F$224</f>
        <v>-8996886.7599999998</v>
      </c>
      <c r="C173" s="14">
        <f>-[21]Sheet1!$F$225</f>
        <v>1255599.76</v>
      </c>
      <c r="D173" s="14">
        <f>-[21]Sheet1!$F$226</f>
        <v>418120.15</v>
      </c>
      <c r="E173" s="14">
        <f>-[21]Sheet1!$F$227</f>
        <v>-1039148.08</v>
      </c>
      <c r="F173" s="14">
        <f t="shared" si="24"/>
        <v>-8362314.9299999997</v>
      </c>
      <c r="G173" s="63">
        <f t="shared" si="25"/>
        <v>-23537342.059999999</v>
      </c>
      <c r="H173" s="23">
        <f>-SUM([21]Sheet1!$G$224:$G$227)</f>
        <v>-23537342.060000002</v>
      </c>
      <c r="I173" s="45">
        <f t="shared" si="26"/>
        <v>0</v>
      </c>
    </row>
    <row r="174" spans="1:9" s="10" customFormat="1" ht="12.75" customHeight="1" x14ac:dyDescent="0.25">
      <c r="A174" s="8" t="s">
        <v>15</v>
      </c>
      <c r="B174" s="62">
        <f>-[21]Sheet1!$F$176-[21]Sheet1!$F$180</f>
        <v>14850592.390000001</v>
      </c>
      <c r="C174" s="13">
        <f>-[21]Sheet1!$F$177-[21]Sheet1!$F$181</f>
        <v>1723985.3699999999</v>
      </c>
      <c r="D174" s="10">
        <f>-[21]Sheet1!$F$178-[21]Sheet1!$F$182</f>
        <v>599342.51</v>
      </c>
      <c r="E174" s="10">
        <f>-[21]Sheet1!$F$179-[21]Sheet1!$F$183</f>
        <v>604704.51</v>
      </c>
      <c r="F174" s="14">
        <f t="shared" si="24"/>
        <v>17778624.780000001</v>
      </c>
      <c r="G174" s="63">
        <f t="shared" si="25"/>
        <v>55454140.900000006</v>
      </c>
      <c r="H174" s="23">
        <f>-SUM([21]Sheet1!$G$176:$G$183)</f>
        <v>55454140.899999991</v>
      </c>
      <c r="I174" s="45">
        <f t="shared" si="26"/>
        <v>0</v>
      </c>
    </row>
    <row r="175" spans="1:9" s="20" customFormat="1" ht="12.75" customHeight="1" thickBot="1" x14ac:dyDescent="0.3">
      <c r="A175" s="16" t="s">
        <v>16</v>
      </c>
      <c r="B175" s="17">
        <f>SUM(B161:B174)</f>
        <v>4468367375.4443712</v>
      </c>
      <c r="C175" s="17">
        <f>SUM(C161:C174)</f>
        <v>464289719.64157641</v>
      </c>
      <c r="D175" s="17">
        <f>SUM(D161:D174)</f>
        <v>93921847.696124822</v>
      </c>
      <c r="E175" s="17">
        <f>SUM(E161:E174)</f>
        <v>149972208.09502321</v>
      </c>
      <c r="F175" s="18">
        <f t="shared" si="24"/>
        <v>5176551150.8770962</v>
      </c>
      <c r="G175" s="19">
        <f>SUM(G167:G174)</f>
        <v>48245146.929999918</v>
      </c>
      <c r="H175" s="52">
        <f>SUM(H167:H174)</f>
        <v>48245146.929999903</v>
      </c>
    </row>
    <row r="176" spans="1:9" s="10" customFormat="1" ht="12.75" customHeight="1" thickTop="1" x14ac:dyDescent="0.25">
      <c r="A176" s="27"/>
      <c r="B176" s="28"/>
      <c r="C176" s="14"/>
      <c r="D176" s="28"/>
      <c r="E176" s="28"/>
      <c r="F176" s="14"/>
      <c r="G176" s="13"/>
    </row>
    <row r="177" spans="1:6" s="28" customFormat="1" ht="12.75" customHeight="1" x14ac:dyDescent="0.25">
      <c r="A177" s="8"/>
      <c r="B177" s="14"/>
      <c r="C177" s="14"/>
      <c r="D177" s="14"/>
      <c r="E177" s="14"/>
      <c r="F177" s="14"/>
    </row>
    <row r="178" spans="1:6" s="10" customFormat="1" ht="12.75" customHeight="1" x14ac:dyDescent="0.25">
      <c r="A178" s="8"/>
      <c r="B178" s="14"/>
      <c r="C178" s="14"/>
      <c r="D178" s="13"/>
      <c r="E178" s="13"/>
      <c r="F178" s="14"/>
    </row>
    <row r="179" spans="1:6" s="10" customFormat="1" ht="12.75" customHeight="1" x14ac:dyDescent="0.25">
      <c r="A179" s="8"/>
      <c r="B179" s="14"/>
      <c r="C179" s="14"/>
      <c r="D179" s="13"/>
      <c r="E179" s="13"/>
      <c r="F179" s="14"/>
    </row>
    <row r="180" spans="1:6" s="10" customFormat="1" ht="12.75" customHeight="1" x14ac:dyDescent="0.25">
      <c r="A180" s="8"/>
      <c r="C180" s="13"/>
      <c r="F180" s="14"/>
    </row>
    <row r="181" spans="1:6" s="10" customFormat="1" ht="12.75" customHeight="1" x14ac:dyDescent="0.25">
      <c r="A181" s="8"/>
      <c r="C181" s="13"/>
      <c r="F181" s="14"/>
    </row>
    <row r="182" spans="1:6" s="10" customFormat="1" ht="12.75" customHeight="1" x14ac:dyDescent="0.25">
      <c r="A182" s="8"/>
      <c r="C182" s="13"/>
      <c r="F182" s="14"/>
    </row>
    <row r="183" spans="1:6" s="10" customFormat="1" ht="12.75" customHeight="1" x14ac:dyDescent="0.25">
      <c r="A183" s="8"/>
      <c r="C183" s="13"/>
      <c r="F183" s="14"/>
    </row>
    <row r="184" spans="1:6" s="10" customFormat="1" ht="12.75" customHeight="1" x14ac:dyDescent="0.25">
      <c r="A184" s="8"/>
      <c r="C184" s="13"/>
      <c r="F184" s="14"/>
    </row>
    <row r="185" spans="1:6" s="10" customFormat="1" ht="12.75" customHeight="1" x14ac:dyDescent="0.25">
      <c r="A185" s="8"/>
      <c r="C185" s="13"/>
      <c r="F185" s="14"/>
    </row>
    <row r="186" spans="1:6" s="10" customFormat="1" ht="12.75" customHeight="1" x14ac:dyDescent="0.25">
      <c r="A186" s="8"/>
      <c r="C186" s="13"/>
      <c r="F186" s="14"/>
    </row>
    <row r="187" spans="1:6" s="10" customFormat="1" ht="12.75" customHeight="1" x14ac:dyDescent="0.25">
      <c r="A187" s="8"/>
      <c r="C187" s="13"/>
      <c r="F187" s="23"/>
    </row>
    <row r="188" spans="1:6" s="10" customFormat="1" ht="12.75" customHeight="1" x14ac:dyDescent="0.25">
      <c r="A188" s="8"/>
      <c r="C188" s="13"/>
    </row>
    <row r="189" spans="1:6" s="10" customFormat="1" ht="12.75" customHeight="1" x14ac:dyDescent="0.25">
      <c r="A189" s="8"/>
      <c r="C189" s="13"/>
    </row>
    <row r="190" spans="1:6" s="10" customFormat="1" ht="12.75" customHeight="1" x14ac:dyDescent="0.25">
      <c r="A190" s="8"/>
      <c r="C190" s="13"/>
    </row>
    <row r="191" spans="1:6" s="10" customFormat="1" ht="12.75" customHeight="1" x14ac:dyDescent="0.25">
      <c r="A191" s="8"/>
      <c r="C191" s="13"/>
    </row>
    <row r="192" spans="1:6" s="10" customFormat="1" ht="12.75" customHeight="1" x14ac:dyDescent="0.25">
      <c r="A192" s="8"/>
      <c r="C192" s="13"/>
    </row>
    <row r="193" spans="1:3" s="10" customFormat="1" ht="12.75" customHeight="1" x14ac:dyDescent="0.25">
      <c r="A193" s="8"/>
      <c r="C193" s="13"/>
    </row>
    <row r="194" spans="1:3" s="10" customFormat="1" ht="12.75" customHeight="1" x14ac:dyDescent="0.25">
      <c r="A194" s="8"/>
      <c r="C194" s="13"/>
    </row>
    <row r="195" spans="1:3" s="10" customFormat="1" ht="12.75" customHeight="1" x14ac:dyDescent="0.25">
      <c r="A195" s="8"/>
      <c r="C195" s="13"/>
    </row>
    <row r="196" spans="1:3" s="10" customFormat="1" ht="12.75" customHeight="1" x14ac:dyDescent="0.25">
      <c r="A196" s="8"/>
      <c r="C196" s="13"/>
    </row>
    <row r="197" spans="1:3" s="10" customFormat="1" ht="12.75" customHeight="1" x14ac:dyDescent="0.25">
      <c r="A197" s="8"/>
      <c r="C197" s="13"/>
    </row>
    <row r="198" spans="1:3" s="10" customFormat="1" ht="13.2" x14ac:dyDescent="0.25">
      <c r="A198" s="8"/>
      <c r="C198" s="13"/>
    </row>
    <row r="199" spans="1:3" s="10" customFormat="1" ht="13.2" x14ac:dyDescent="0.25">
      <c r="A199" s="8"/>
      <c r="C199" s="13"/>
    </row>
    <row r="200" spans="1:3" s="10" customFormat="1" ht="13.2" x14ac:dyDescent="0.25">
      <c r="A200" s="8"/>
      <c r="C200" s="13"/>
    </row>
    <row r="201" spans="1:3" s="10" customFormat="1" ht="13.2" x14ac:dyDescent="0.25">
      <c r="A201" s="8"/>
      <c r="C201" s="13"/>
    </row>
    <row r="202" spans="1:3" s="10" customFormat="1" ht="13.2" x14ac:dyDescent="0.25">
      <c r="A202" s="8"/>
      <c r="C202" s="13"/>
    </row>
    <row r="203" spans="1:3" s="10" customFormat="1" ht="13.2" x14ac:dyDescent="0.25">
      <c r="A203" s="8"/>
      <c r="C203" s="13"/>
    </row>
    <row r="204" spans="1:3" s="10" customFormat="1" ht="13.2" x14ac:dyDescent="0.25">
      <c r="A204" s="8"/>
      <c r="C204" s="13"/>
    </row>
    <row r="205" spans="1:3" s="10" customFormat="1" ht="13.2" x14ac:dyDescent="0.25">
      <c r="A205" s="8"/>
      <c r="C205" s="13"/>
    </row>
    <row r="206" spans="1:3" s="10" customFormat="1" ht="13.2" x14ac:dyDescent="0.25">
      <c r="A206" s="8"/>
      <c r="C206" s="13"/>
    </row>
    <row r="207" spans="1:3" s="10" customFormat="1" ht="13.2" x14ac:dyDescent="0.25">
      <c r="A207" s="8"/>
      <c r="C207" s="13"/>
    </row>
    <row r="208" spans="1:3" s="10" customFormat="1" ht="13.2" x14ac:dyDescent="0.25">
      <c r="A208" s="8"/>
      <c r="C208" s="13"/>
    </row>
    <row r="209" spans="1:3" s="10" customFormat="1" ht="13.2" x14ac:dyDescent="0.25">
      <c r="A209" s="8"/>
      <c r="C209" s="13"/>
    </row>
    <row r="210" spans="1:3" s="10" customFormat="1" ht="13.2" x14ac:dyDescent="0.25">
      <c r="A210" s="8"/>
      <c r="C210" s="13"/>
    </row>
    <row r="211" spans="1:3" s="10" customFormat="1" ht="13.2" x14ac:dyDescent="0.25">
      <c r="A211" s="8"/>
      <c r="C211" s="13"/>
    </row>
    <row r="212" spans="1:3" s="10" customFormat="1" ht="13.2" x14ac:dyDescent="0.25">
      <c r="A212" s="8"/>
      <c r="C212" s="13"/>
    </row>
    <row r="213" spans="1:3" s="10" customFormat="1" ht="13.2" x14ac:dyDescent="0.25">
      <c r="A213" s="8"/>
      <c r="C213" s="13"/>
    </row>
    <row r="214" spans="1:3" s="10" customFormat="1" ht="13.2" x14ac:dyDescent="0.25">
      <c r="A214" s="8"/>
      <c r="C214" s="13"/>
    </row>
    <row r="215" spans="1:3" s="10" customFormat="1" ht="13.2" x14ac:dyDescent="0.25">
      <c r="A215" s="8"/>
      <c r="C215" s="13"/>
    </row>
    <row r="216" spans="1:3" s="10" customFormat="1" ht="13.2" x14ac:dyDescent="0.25">
      <c r="A216" s="8"/>
      <c r="C216" s="13"/>
    </row>
    <row r="217" spans="1:3" s="10" customFormat="1" ht="13.2" x14ac:dyDescent="0.25">
      <c r="A217" s="8"/>
      <c r="C217" s="13"/>
    </row>
    <row r="218" spans="1:3" s="10" customFormat="1" ht="13.2" x14ac:dyDescent="0.25">
      <c r="A218" s="8"/>
      <c r="C218" s="13"/>
    </row>
    <row r="219" spans="1:3" s="10" customFormat="1" ht="13.2" x14ac:dyDescent="0.25">
      <c r="A219" s="8"/>
      <c r="C219" s="13"/>
    </row>
    <row r="220" spans="1:3" s="10" customFormat="1" ht="13.2" x14ac:dyDescent="0.25">
      <c r="A220" s="8"/>
      <c r="C220" s="13"/>
    </row>
    <row r="221" spans="1:3" s="10" customFormat="1" ht="13.2" x14ac:dyDescent="0.25">
      <c r="A221" s="8"/>
      <c r="C221" s="13"/>
    </row>
    <row r="222" spans="1:3" s="10" customFormat="1" ht="13.2" x14ac:dyDescent="0.25">
      <c r="A222" s="8"/>
      <c r="C222" s="13"/>
    </row>
    <row r="223" spans="1:3" s="10" customFormat="1" ht="13.2" x14ac:dyDescent="0.25">
      <c r="A223" s="8"/>
      <c r="C223" s="13"/>
    </row>
    <row r="224" spans="1:3" s="10" customFormat="1" ht="13.2" x14ac:dyDescent="0.25">
      <c r="A224" s="8"/>
      <c r="C224" s="13"/>
    </row>
    <row r="225" spans="1:3" s="10" customFormat="1" ht="13.2" x14ac:dyDescent="0.25">
      <c r="A225" s="8"/>
      <c r="C225" s="13"/>
    </row>
    <row r="226" spans="1:3" s="10" customFormat="1" ht="13.2" x14ac:dyDescent="0.25">
      <c r="A226" s="8"/>
      <c r="C226" s="13"/>
    </row>
    <row r="227" spans="1:3" s="10" customFormat="1" ht="13.2" x14ac:dyDescent="0.25">
      <c r="A227" s="8"/>
      <c r="C227" s="13"/>
    </row>
    <row r="228" spans="1:3" s="10" customFormat="1" ht="13.2" x14ac:dyDescent="0.25">
      <c r="A228" s="8"/>
      <c r="C228" s="13"/>
    </row>
    <row r="229" spans="1:3" s="10" customFormat="1" ht="13.2" x14ac:dyDescent="0.25">
      <c r="A229" s="8"/>
      <c r="C229" s="13"/>
    </row>
    <row r="230" spans="1:3" s="10" customFormat="1" ht="13.2" x14ac:dyDescent="0.25">
      <c r="A230" s="8"/>
      <c r="C230" s="13"/>
    </row>
    <row r="231" spans="1:3" s="10" customFormat="1" ht="13.2" x14ac:dyDescent="0.25">
      <c r="A231" s="8"/>
      <c r="C231" s="13"/>
    </row>
    <row r="232" spans="1:3" s="10" customFormat="1" ht="13.2" x14ac:dyDescent="0.25">
      <c r="A232" s="8"/>
      <c r="C232" s="13"/>
    </row>
    <row r="233" spans="1:3" s="10" customFormat="1" ht="13.2" x14ac:dyDescent="0.25">
      <c r="A233" s="8"/>
      <c r="C233" s="13"/>
    </row>
    <row r="234" spans="1:3" s="10" customFormat="1" ht="13.2" x14ac:dyDescent="0.25">
      <c r="A234" s="8"/>
      <c r="C234" s="13"/>
    </row>
    <row r="235" spans="1:3" s="10" customFormat="1" ht="13.2" x14ac:dyDescent="0.25">
      <c r="A235" s="8"/>
      <c r="C235" s="13"/>
    </row>
    <row r="236" spans="1:3" s="10" customFormat="1" ht="13.2" x14ac:dyDescent="0.25">
      <c r="A236" s="8"/>
      <c r="C236" s="13"/>
    </row>
    <row r="237" spans="1:3" s="10" customFormat="1" ht="13.2" x14ac:dyDescent="0.25">
      <c r="A237" s="8"/>
      <c r="C237" s="13"/>
    </row>
    <row r="238" spans="1:3" s="10" customFormat="1" ht="13.2" x14ac:dyDescent="0.25">
      <c r="A238" s="8"/>
      <c r="C238" s="13"/>
    </row>
    <row r="239" spans="1:3" s="10" customFormat="1" ht="13.2" x14ac:dyDescent="0.25">
      <c r="A239" s="8"/>
      <c r="C239" s="13"/>
    </row>
    <row r="240" spans="1:3" s="10" customFormat="1" ht="13.2" x14ac:dyDescent="0.25">
      <c r="A240" s="8"/>
      <c r="C240" s="13"/>
    </row>
    <row r="241" spans="1:3" s="10" customFormat="1" ht="13.2" x14ac:dyDescent="0.25">
      <c r="A241" s="8"/>
      <c r="C241" s="13"/>
    </row>
    <row r="242" spans="1:3" s="10" customFormat="1" ht="13.2" x14ac:dyDescent="0.25">
      <c r="A242" s="8"/>
      <c r="C242" s="13"/>
    </row>
    <row r="243" spans="1:3" s="10" customFormat="1" ht="13.2" x14ac:dyDescent="0.25">
      <c r="A243" s="8"/>
      <c r="C243" s="13"/>
    </row>
    <row r="244" spans="1:3" s="10" customFormat="1" ht="13.2" x14ac:dyDescent="0.25">
      <c r="A244" s="8"/>
      <c r="C244" s="13"/>
    </row>
    <row r="245" spans="1:3" s="10" customFormat="1" ht="13.2" x14ac:dyDescent="0.25">
      <c r="A245" s="8"/>
      <c r="C245" s="13"/>
    </row>
    <row r="246" spans="1:3" s="10" customFormat="1" ht="13.2" x14ac:dyDescent="0.25">
      <c r="A246" s="8"/>
      <c r="C246" s="13"/>
    </row>
    <row r="247" spans="1:3" s="10" customFormat="1" ht="13.2" x14ac:dyDescent="0.25">
      <c r="A247" s="8"/>
      <c r="C247" s="13"/>
    </row>
    <row r="248" spans="1:3" s="10" customFormat="1" ht="13.2" x14ac:dyDescent="0.25">
      <c r="A248" s="8"/>
      <c r="C248" s="13"/>
    </row>
    <row r="249" spans="1:3" s="10" customFormat="1" ht="13.2" x14ac:dyDescent="0.25">
      <c r="A249" s="8"/>
      <c r="C249" s="13"/>
    </row>
    <row r="250" spans="1:3" s="10" customFormat="1" ht="13.2" x14ac:dyDescent="0.25">
      <c r="A250" s="8"/>
      <c r="C250" s="13"/>
    </row>
    <row r="251" spans="1:3" s="10" customFormat="1" ht="13.2" x14ac:dyDescent="0.25">
      <c r="A251" s="8"/>
      <c r="C251" s="13"/>
    </row>
    <row r="252" spans="1:3" s="10" customFormat="1" ht="13.2" x14ac:dyDescent="0.25">
      <c r="A252" s="8"/>
      <c r="C252" s="13"/>
    </row>
    <row r="253" spans="1:3" s="10" customFormat="1" ht="13.2" x14ac:dyDescent="0.25">
      <c r="A253" s="8"/>
      <c r="C253" s="13"/>
    </row>
    <row r="254" spans="1:3" s="10" customFormat="1" ht="13.2" x14ac:dyDescent="0.25">
      <c r="A254" s="8"/>
      <c r="C254" s="13"/>
    </row>
    <row r="255" spans="1:3" s="10" customFormat="1" ht="13.2" x14ac:dyDescent="0.25">
      <c r="A255" s="8"/>
      <c r="C255" s="13"/>
    </row>
    <row r="256" spans="1:3" s="10" customFormat="1" ht="13.2" x14ac:dyDescent="0.25">
      <c r="A256" s="8"/>
      <c r="C256" s="13"/>
    </row>
    <row r="257" spans="1:3" s="10" customFormat="1" ht="13.2" x14ac:dyDescent="0.25">
      <c r="A257" s="8"/>
      <c r="C257" s="13"/>
    </row>
    <row r="258" spans="1:3" s="10" customFormat="1" ht="13.2" x14ac:dyDescent="0.25">
      <c r="A258" s="8"/>
      <c r="C258" s="13"/>
    </row>
    <row r="259" spans="1:3" s="10" customFormat="1" ht="13.2" x14ac:dyDescent="0.25">
      <c r="A259" s="8"/>
      <c r="C259" s="13"/>
    </row>
    <row r="260" spans="1:3" s="10" customFormat="1" ht="13.2" x14ac:dyDescent="0.25">
      <c r="A260" s="8"/>
      <c r="C260" s="13"/>
    </row>
    <row r="261" spans="1:3" s="10" customFormat="1" ht="13.2" x14ac:dyDescent="0.25">
      <c r="A261" s="8"/>
      <c r="C261" s="13"/>
    </row>
    <row r="262" spans="1:3" s="10" customFormat="1" ht="13.2" x14ac:dyDescent="0.25">
      <c r="A262" s="8"/>
      <c r="C262" s="13"/>
    </row>
    <row r="263" spans="1:3" s="10" customFormat="1" ht="13.2" x14ac:dyDescent="0.25">
      <c r="A263" s="8"/>
      <c r="C263" s="13"/>
    </row>
    <row r="264" spans="1:3" s="10" customFormat="1" ht="13.2" x14ac:dyDescent="0.25">
      <c r="A264" s="8"/>
      <c r="C264" s="13"/>
    </row>
    <row r="265" spans="1:3" s="10" customFormat="1" ht="13.2" x14ac:dyDescent="0.25">
      <c r="A265" s="8"/>
      <c r="C265" s="13"/>
    </row>
    <row r="266" spans="1:3" s="10" customFormat="1" ht="13.2" x14ac:dyDescent="0.25">
      <c r="A266" s="8"/>
      <c r="C266" s="13"/>
    </row>
    <row r="267" spans="1:3" x14ac:dyDescent="0.2">
      <c r="C267" s="29"/>
    </row>
    <row r="268" spans="1:3" x14ac:dyDescent="0.2">
      <c r="C268" s="29"/>
    </row>
    <row r="269" spans="1:3" x14ac:dyDescent="0.2">
      <c r="C269" s="29"/>
    </row>
    <row r="270" spans="1:3" x14ac:dyDescent="0.2">
      <c r="C270" s="29"/>
    </row>
    <row r="271" spans="1:3" x14ac:dyDescent="0.2">
      <c r="C271" s="29"/>
    </row>
    <row r="272" spans="1:3" x14ac:dyDescent="0.2">
      <c r="C272" s="29"/>
    </row>
    <row r="273" spans="3:3" x14ac:dyDescent="0.2">
      <c r="C273" s="29"/>
    </row>
    <row r="274" spans="3:3" x14ac:dyDescent="0.2">
      <c r="C274" s="29"/>
    </row>
    <row r="275" spans="3:3" x14ac:dyDescent="0.2">
      <c r="C275" s="29"/>
    </row>
    <row r="276" spans="3:3" x14ac:dyDescent="0.2">
      <c r="C276" s="29"/>
    </row>
    <row r="277" spans="3:3" x14ac:dyDescent="0.2">
      <c r="C277" s="29"/>
    </row>
    <row r="278" spans="3:3" x14ac:dyDescent="0.2">
      <c r="C278" s="29"/>
    </row>
    <row r="279" spans="3:3" x14ac:dyDescent="0.2">
      <c r="C279" s="29"/>
    </row>
    <row r="280" spans="3:3" x14ac:dyDescent="0.2">
      <c r="C280" s="29"/>
    </row>
    <row r="281" spans="3:3" x14ac:dyDescent="0.2">
      <c r="C281" s="29"/>
    </row>
    <row r="282" spans="3:3" x14ac:dyDescent="0.2">
      <c r="C282" s="29"/>
    </row>
    <row r="283" spans="3:3" x14ac:dyDescent="0.2">
      <c r="C283" s="29"/>
    </row>
    <row r="284" spans="3:3" x14ac:dyDescent="0.2">
      <c r="C284" s="29"/>
    </row>
    <row r="285" spans="3:3" x14ac:dyDescent="0.2">
      <c r="C285" s="29"/>
    </row>
    <row r="286" spans="3:3" x14ac:dyDescent="0.2">
      <c r="C286" s="29"/>
    </row>
    <row r="287" spans="3:3" x14ac:dyDescent="0.2">
      <c r="C287" s="29"/>
    </row>
    <row r="288" spans="3:3" x14ac:dyDescent="0.2">
      <c r="C288" s="29"/>
    </row>
    <row r="289" spans="3:3" x14ac:dyDescent="0.2">
      <c r="C289" s="29"/>
    </row>
    <row r="290" spans="3:3" x14ac:dyDescent="0.2">
      <c r="C290" s="29"/>
    </row>
    <row r="291" spans="3:3" x14ac:dyDescent="0.2">
      <c r="C291" s="29"/>
    </row>
    <row r="292" spans="3:3" x14ac:dyDescent="0.2">
      <c r="C292" s="29"/>
    </row>
    <row r="293" spans="3:3" x14ac:dyDescent="0.2">
      <c r="C293" s="29"/>
    </row>
    <row r="294" spans="3:3" x14ac:dyDescent="0.2">
      <c r="C294" s="29"/>
    </row>
    <row r="295" spans="3:3" x14ac:dyDescent="0.2">
      <c r="C295" s="29"/>
    </row>
    <row r="296" spans="3:3" x14ac:dyDescent="0.2">
      <c r="C296" s="29"/>
    </row>
    <row r="297" spans="3:3" x14ac:dyDescent="0.2">
      <c r="C297" s="29"/>
    </row>
    <row r="298" spans="3:3" x14ac:dyDescent="0.2">
      <c r="C298" s="29"/>
    </row>
    <row r="299" spans="3:3" x14ac:dyDescent="0.2">
      <c r="C299" s="29"/>
    </row>
    <row r="300" spans="3:3" x14ac:dyDescent="0.2">
      <c r="C300" s="29"/>
    </row>
    <row r="301" spans="3:3" x14ac:dyDescent="0.2">
      <c r="C301" s="29"/>
    </row>
    <row r="302" spans="3:3" x14ac:dyDescent="0.2">
      <c r="C302" s="29"/>
    </row>
    <row r="303" spans="3:3" x14ac:dyDescent="0.2">
      <c r="C303" s="29"/>
    </row>
    <row r="304" spans="3:3" x14ac:dyDescent="0.2">
      <c r="C304" s="29"/>
    </row>
    <row r="305" spans="3:3" x14ac:dyDescent="0.2">
      <c r="C305" s="29"/>
    </row>
    <row r="306" spans="3:3" x14ac:dyDescent="0.2">
      <c r="C306" s="29"/>
    </row>
    <row r="307" spans="3:3" x14ac:dyDescent="0.2">
      <c r="C307" s="29"/>
    </row>
  </sheetData>
  <mergeCells count="3">
    <mergeCell ref="A1:F1"/>
    <mergeCell ref="A2:F2"/>
    <mergeCell ref="A3:F3"/>
  </mergeCells>
  <phoneticPr fontId="0" type="noConversion"/>
  <pageMargins left="0.75" right="0.75" top="1" bottom="1" header="0.5" footer="0.5"/>
  <pageSetup scale="59" orientation="portrait" horizontalDpi="300" r:id="rId1"/>
  <headerFooter alignWithMargins="0"/>
  <rowBreaks count="1" manualBreakCount="1">
    <brk id="79" max="6" man="1"/>
  </rowBreaks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1"/>
  <sheetViews>
    <sheetView zoomScale="105" zoomScaleNormal="110" zoomScaleSheetLayoutView="75" workbookViewId="0">
      <pane xSplit="1" ySplit="7" topLeftCell="B153" activePane="bottomRight" state="frozen"/>
      <selection pane="topRight" activeCell="B1" sqref="B1"/>
      <selection pane="bottomLeft" activeCell="A10" sqref="A10"/>
      <selection pane="bottomRight" activeCell="E178" sqref="E178"/>
    </sheetView>
  </sheetViews>
  <sheetFormatPr defaultColWidth="9.109375" defaultRowHeight="13.2" outlineLevelRow="1" x14ac:dyDescent="0.25"/>
  <cols>
    <col min="1" max="1" width="28.44140625" style="2" customWidth="1"/>
    <col min="2" max="6" width="18.6640625" style="1" customWidth="1"/>
    <col min="7" max="7" width="19.5546875" style="10" customWidth="1"/>
    <col min="8" max="8" width="20.33203125" style="10" customWidth="1"/>
    <col min="9" max="9" width="17.44140625" style="10" customWidth="1"/>
    <col min="10" max="10" width="21.6640625" style="10" customWidth="1"/>
    <col min="11" max="11" width="17.44140625" style="10" customWidth="1"/>
    <col min="12" max="12" width="12.33203125" style="1" customWidth="1"/>
    <col min="13" max="16384" width="9.109375" style="1"/>
  </cols>
  <sheetData>
    <row r="1" spans="1:12" ht="15.6" x14ac:dyDescent="0.3">
      <c r="A1" s="602" t="s">
        <v>0</v>
      </c>
      <c r="B1" s="602"/>
      <c r="C1" s="602"/>
      <c r="D1" s="602"/>
      <c r="E1" s="602"/>
      <c r="F1" s="602"/>
      <c r="G1" s="84"/>
      <c r="H1" s="84"/>
    </row>
    <row r="2" spans="1:12" ht="15.6" x14ac:dyDescent="0.3">
      <c r="A2" s="602" t="s">
        <v>1</v>
      </c>
      <c r="B2" s="602"/>
      <c r="C2" s="602"/>
      <c r="D2" s="602"/>
      <c r="E2" s="602"/>
      <c r="F2" s="602"/>
      <c r="G2" s="84"/>
      <c r="H2" s="84"/>
    </row>
    <row r="3" spans="1:12" ht="15.6" x14ac:dyDescent="0.3">
      <c r="A3" s="602">
        <v>2009</v>
      </c>
      <c r="B3" s="602"/>
      <c r="C3" s="602"/>
      <c r="D3" s="602"/>
      <c r="E3" s="602"/>
      <c r="F3" s="602"/>
      <c r="G3" s="84"/>
      <c r="H3" s="84"/>
      <c r="J3" s="189"/>
    </row>
    <row r="4" spans="1:12" ht="12.75" customHeight="1" x14ac:dyDescent="0.25">
      <c r="B4" s="3"/>
      <c r="C4" s="3"/>
      <c r="D4" s="3"/>
      <c r="E4" s="3"/>
      <c r="F4" s="3"/>
      <c r="G4" s="86"/>
      <c r="H4" s="86"/>
      <c r="J4" s="23"/>
    </row>
    <row r="5" spans="1:12" s="7" customFormat="1" ht="12.75" customHeight="1" x14ac:dyDescent="0.25">
      <c r="A5" s="4"/>
      <c r="B5" s="190" t="s">
        <v>2</v>
      </c>
      <c r="C5" s="190" t="s">
        <v>3</v>
      </c>
      <c r="D5" s="190" t="s">
        <v>4</v>
      </c>
      <c r="E5" s="190" t="s">
        <v>5</v>
      </c>
      <c r="F5" s="191" t="s">
        <v>6</v>
      </c>
      <c r="G5" s="192"/>
      <c r="H5" s="192"/>
      <c r="J5" s="38"/>
    </row>
    <row r="6" spans="1:12" s="10" customFormat="1" ht="12.75" customHeight="1" x14ac:dyDescent="0.25">
      <c r="A6" s="8"/>
      <c r="B6" s="9"/>
      <c r="C6" s="9"/>
      <c r="D6" s="9"/>
      <c r="E6" s="9"/>
      <c r="F6" s="9"/>
      <c r="G6" s="9"/>
      <c r="H6" s="9"/>
    </row>
    <row r="7" spans="1:12" s="10" customFormat="1" ht="12.75" customHeight="1" thickBot="1" x14ac:dyDescent="0.3">
      <c r="A7" s="193" t="s">
        <v>77</v>
      </c>
      <c r="B7" s="194">
        <f>'[10]2008 Accrual Quarterly'!$B$80</f>
        <v>4908481566.2443714</v>
      </c>
      <c r="C7" s="194">
        <f>'[10]2008 Accrual Quarterly'!$C$80</f>
        <v>488775523.52157551</v>
      </c>
      <c r="D7" s="194">
        <f>'[10]2008 Accrual Quarterly'!$D$80</f>
        <v>110336252.55612475</v>
      </c>
      <c r="E7" s="194">
        <f>'[10]2008 Accrual Quarterly'!$E$80</f>
        <v>288391402.5450232</v>
      </c>
      <c r="F7" s="194">
        <f>SUM(B7:E7)</f>
        <v>5795984744.867095</v>
      </c>
      <c r="G7" s="195"/>
      <c r="H7" s="195"/>
      <c r="I7" s="196"/>
    </row>
    <row r="8" spans="1:12" s="10" customFormat="1" ht="12.75" customHeight="1" thickTop="1" x14ac:dyDescent="0.25">
      <c r="A8" s="193"/>
      <c r="B8" s="195"/>
      <c r="C8" s="195"/>
      <c r="D8" s="195"/>
      <c r="E8" s="195"/>
      <c r="F8" s="195"/>
      <c r="G8" s="195"/>
      <c r="H8" s="195"/>
      <c r="I8" s="196"/>
    </row>
    <row r="9" spans="1:12" s="10" customFormat="1" ht="12.75" customHeight="1" x14ac:dyDescent="0.25">
      <c r="A9" s="8"/>
      <c r="B9" s="197"/>
      <c r="C9" s="197"/>
      <c r="E9" s="197"/>
      <c r="F9" s="197"/>
      <c r="G9" s="198" t="s">
        <v>32</v>
      </c>
      <c r="H9" s="198" t="s">
        <v>32</v>
      </c>
      <c r="I9" s="198" t="s">
        <v>31</v>
      </c>
      <c r="J9" s="198" t="s">
        <v>31</v>
      </c>
    </row>
    <row r="10" spans="1:12" s="10" customFormat="1" ht="12.75" customHeight="1" x14ac:dyDescent="0.25">
      <c r="A10" s="15" t="s">
        <v>7</v>
      </c>
      <c r="B10" s="197"/>
      <c r="C10" s="197"/>
      <c r="D10" s="197"/>
      <c r="E10" s="197"/>
      <c r="F10" s="197"/>
      <c r="G10" s="198" t="s">
        <v>44</v>
      </c>
      <c r="H10" s="199" t="s">
        <v>45</v>
      </c>
      <c r="I10" s="198" t="s">
        <v>44</v>
      </c>
      <c r="J10" s="199" t="s">
        <v>45</v>
      </c>
      <c r="K10" s="198" t="s">
        <v>85</v>
      </c>
    </row>
    <row r="11" spans="1:12" s="10" customFormat="1" ht="12.75" customHeight="1" x14ac:dyDescent="0.25">
      <c r="A11" s="8" t="s">
        <v>8</v>
      </c>
      <c r="B11" s="197">
        <f>'[22]TB Jan 09'!D9</f>
        <v>167315821.25</v>
      </c>
      <c r="C11" s="197">
        <f>'[22]TB Jan 09'!D10</f>
        <v>303173864.76999998</v>
      </c>
      <c r="D11" s="197">
        <f>'[22]TB Jan 09'!D11</f>
        <v>62855169.490000002</v>
      </c>
      <c r="E11" s="197">
        <f>'[22]TB Jan 09'!D12</f>
        <v>10701842.99</v>
      </c>
      <c r="F11" s="200">
        <f t="shared" ref="F11:F20" si="0">SUM(B11:E11)</f>
        <v>544046698.5</v>
      </c>
      <c r="G11" s="197">
        <f>SUM('[22]2008 Accrual Monthly'!F128,'[22]2008 Accrual Monthly'!F143,'[22]2008 Accrual Monthly'!F158+'2009 Accrual Monthly'!F11)</f>
        <v>2460327106.4099998</v>
      </c>
      <c r="H11" s="197">
        <f>'[22]TB Jan 09'!E14</f>
        <v>2460327106.4099998</v>
      </c>
      <c r="I11" s="196">
        <f>F11</f>
        <v>544046698.5</v>
      </c>
      <c r="J11" s="23">
        <f>-'[22]TB Jan 09'!D14</f>
        <v>-544046698.5</v>
      </c>
      <c r="K11" s="201">
        <f>+J11+I11</f>
        <v>0</v>
      </c>
      <c r="L11" s="23">
        <f>+G11-H11</f>
        <v>0</v>
      </c>
    </row>
    <row r="12" spans="1:12" s="10" customFormat="1" ht="12.75" customHeight="1" x14ac:dyDescent="0.25">
      <c r="A12" s="8" t="s">
        <v>9</v>
      </c>
      <c r="B12" s="197">
        <f>'[22]TB Jan 09'!D16</f>
        <v>121813.73</v>
      </c>
      <c r="C12" s="197">
        <f>'[22]TB Jan 09'!D17</f>
        <v>221344.8</v>
      </c>
      <c r="D12" s="197">
        <f>'[22]TB Jan 09'!D18</f>
        <v>45694.98</v>
      </c>
      <c r="E12" s="197">
        <f>'[22]TB Jan 09'!D19</f>
        <v>7968.83</v>
      </c>
      <c r="F12" s="200">
        <f t="shared" si="0"/>
        <v>396822.33999999997</v>
      </c>
      <c r="G12" s="197">
        <f>'[22]2008 Accrual Monthly'!G159+'2009 Accrual Monthly'!F12</f>
        <v>1819678.5499999998</v>
      </c>
      <c r="H12" s="138">
        <f>'[22]TB Jan 09'!E20</f>
        <v>1819678.55</v>
      </c>
      <c r="I12" s="196">
        <f t="shared" ref="I12:J18" si="1">F12</f>
        <v>396822.33999999997</v>
      </c>
      <c r="J12" s="196">
        <f>-'[22]TB Jan 09'!D20</f>
        <v>-396822.33999999997</v>
      </c>
      <c r="K12" s="201">
        <f t="shared" ref="K12:K18" si="2">+J12+I12</f>
        <v>0</v>
      </c>
      <c r="L12" s="23">
        <f t="shared" ref="L12:L19" si="3">+G12-H12</f>
        <v>0</v>
      </c>
    </row>
    <row r="13" spans="1:12" s="10" customFormat="1" ht="12.75" customHeight="1" x14ac:dyDescent="0.25">
      <c r="A13" s="8" t="s">
        <v>10</v>
      </c>
      <c r="B13" s="197">
        <f>'[22]TB Jan 09'!D22</f>
        <v>66747.02</v>
      </c>
      <c r="C13" s="197">
        <f>'[22]TB Jan 09'!D23</f>
        <v>120886.79</v>
      </c>
      <c r="D13" s="197">
        <f>'[22]TB Jan 09'!D24</f>
        <v>25062.639999999999</v>
      </c>
      <c r="E13" s="197">
        <f>'[22]TB Jan 09'!D25</f>
        <v>4296.5824000000002</v>
      </c>
      <c r="F13" s="200">
        <f t="shared" si="0"/>
        <v>216993.03240000003</v>
      </c>
      <c r="G13" s="197">
        <f>'[22]2008 Accrual Monthly'!G160+'2009 Accrual Monthly'!F13</f>
        <v>830184.51240000001</v>
      </c>
      <c r="H13" s="197">
        <f>'[22]TB Jan 09'!E26</f>
        <v>830184.51240000001</v>
      </c>
      <c r="I13" s="196">
        <f t="shared" si="1"/>
        <v>216993.03240000003</v>
      </c>
      <c r="J13" s="196">
        <f>-'[22]TB Jan 09'!D26</f>
        <v>-216993.03240000003</v>
      </c>
      <c r="K13" s="201">
        <f t="shared" si="2"/>
        <v>0</v>
      </c>
      <c r="L13" s="23">
        <f t="shared" si="3"/>
        <v>0</v>
      </c>
    </row>
    <row r="14" spans="1:12" s="10" customFormat="1" ht="12.75" customHeight="1" x14ac:dyDescent="0.25">
      <c r="A14" s="8" t="s">
        <v>11</v>
      </c>
      <c r="B14" s="197">
        <f>'[22]TB Jan 09'!D28</f>
        <v>0</v>
      </c>
      <c r="C14" s="197">
        <f>'[22]TB Jan 09'!E28</f>
        <v>0</v>
      </c>
      <c r="D14" s="197">
        <v>0</v>
      </c>
      <c r="E14" s="197">
        <v>0</v>
      </c>
      <c r="F14" s="197">
        <v>0</v>
      </c>
      <c r="G14" s="197">
        <f>'[22]2008 Accrual Monthly'!G146+F14</f>
        <v>0</v>
      </c>
      <c r="H14" s="197">
        <f>'[22]TB Jan 09'!D32</f>
        <v>0</v>
      </c>
      <c r="I14" s="196">
        <f t="shared" si="1"/>
        <v>0</v>
      </c>
      <c r="J14" s="196">
        <f t="shared" si="1"/>
        <v>0</v>
      </c>
      <c r="K14" s="201">
        <f t="shared" si="2"/>
        <v>0</v>
      </c>
      <c r="L14" s="23">
        <f t="shared" si="3"/>
        <v>0</v>
      </c>
    </row>
    <row r="15" spans="1:12" s="10" customFormat="1" ht="12.75" customHeight="1" x14ac:dyDescent="0.25">
      <c r="A15" s="8" t="s">
        <v>12</v>
      </c>
      <c r="B15" s="197">
        <f>'[22]TB Jan 09'!D34</f>
        <v>2026936.23</v>
      </c>
      <c r="C15" s="197">
        <f>'[22]TB Jan 09'!D35</f>
        <v>615372.06000000006</v>
      </c>
      <c r="D15" s="197">
        <f>'[22]TB Jan 09'!D36</f>
        <v>107917.08</v>
      </c>
      <c r="E15" s="197">
        <f>'[22]TB Jan 09'!D37</f>
        <v>24593.88</v>
      </c>
      <c r="F15" s="200">
        <f t="shared" si="0"/>
        <v>2774819.25</v>
      </c>
      <c r="G15" s="197">
        <f>'[22]2008 Accrual Monthly'!G162+'2009 Accrual Monthly'!F15</f>
        <v>2020373.9799999997</v>
      </c>
      <c r="H15" s="197">
        <f>'[22]TB Jan 09'!E38</f>
        <v>2020373.98</v>
      </c>
      <c r="I15" s="196">
        <f t="shared" si="1"/>
        <v>2774819.25</v>
      </c>
      <c r="J15" s="196">
        <f>-'[22]TB Jan 09'!D38</f>
        <v>-2774819.25</v>
      </c>
      <c r="K15" s="201">
        <f t="shared" si="2"/>
        <v>0</v>
      </c>
      <c r="L15" s="23">
        <f t="shared" si="3"/>
        <v>0</v>
      </c>
    </row>
    <row r="16" spans="1:12" s="10" customFormat="1" ht="12.75" customHeight="1" x14ac:dyDescent="0.25">
      <c r="A16" s="8" t="s">
        <v>13</v>
      </c>
      <c r="B16" s="197">
        <f>'[22]TB Jan 09'!D40</f>
        <v>-157219239.66999999</v>
      </c>
      <c r="C16" s="197">
        <f>'[22]TB Jan 09'!D41</f>
        <v>-396485797.13</v>
      </c>
      <c r="D16" s="197">
        <f>'[22]TB Jan 09'!D42</f>
        <v>-69625835.930000007</v>
      </c>
      <c r="E16" s="197">
        <f>'[22]TB Jan 09'!D43</f>
        <v>-5341942.51</v>
      </c>
      <c r="F16" s="200">
        <f t="shared" si="0"/>
        <v>-628672815.24000001</v>
      </c>
      <c r="G16" s="197">
        <f>'[22]2008 Accrual Monthly'!G163+'2009 Accrual Monthly'!F16</f>
        <v>-2576779803.8299999</v>
      </c>
      <c r="H16" s="197">
        <f>'[22]TB Jan 09'!E44</f>
        <v>-2576779803.8299999</v>
      </c>
      <c r="I16" s="196">
        <f t="shared" si="1"/>
        <v>-628672815.24000001</v>
      </c>
      <c r="J16" s="196">
        <f>-'[22]TB Jan 09'!D44</f>
        <v>628672815.24000001</v>
      </c>
      <c r="K16" s="201">
        <f t="shared" si="2"/>
        <v>0</v>
      </c>
      <c r="L16" s="23">
        <f t="shared" si="3"/>
        <v>0</v>
      </c>
    </row>
    <row r="17" spans="1:12" s="10" customFormat="1" ht="12.75" customHeight="1" x14ac:dyDescent="0.25">
      <c r="A17" s="8" t="s">
        <v>14</v>
      </c>
      <c r="B17" s="197">
        <f>'[22]TB Jan 09'!D56</f>
        <v>-4461524.18</v>
      </c>
      <c r="C17" s="200">
        <f>'[22]TB Jan 09'!D57</f>
        <v>3933092.26</v>
      </c>
      <c r="D17" s="200">
        <f>'[22]TB Jan 09'!D58</f>
        <v>-678179</v>
      </c>
      <c r="E17" s="200">
        <f>'[22]TB Jan 09'!D59</f>
        <v>-550823.66</v>
      </c>
      <c r="F17" s="200">
        <f t="shared" si="0"/>
        <v>-1757434.58</v>
      </c>
      <c r="G17" s="197">
        <f>+'[22]2008 Accrual Monthly'!G164+'2009 Accrual Monthly'!F17</f>
        <v>-31936324.810000002</v>
      </c>
      <c r="H17" s="197">
        <f>'[22]TB Jan 09'!E60</f>
        <v>-31936324.809999999</v>
      </c>
      <c r="I17" s="196">
        <f t="shared" si="1"/>
        <v>-1757434.58</v>
      </c>
      <c r="J17" s="196">
        <f>-'[22]TB Jan 09'!D60</f>
        <v>1757434.58</v>
      </c>
      <c r="K17" s="201">
        <f t="shared" si="2"/>
        <v>0</v>
      </c>
      <c r="L17" s="23">
        <f t="shared" si="3"/>
        <v>0</v>
      </c>
    </row>
    <row r="18" spans="1:12" s="10" customFormat="1" ht="12.75" hidden="1" customHeight="1" outlineLevel="1" x14ac:dyDescent="0.25">
      <c r="A18" s="155" t="s">
        <v>174</v>
      </c>
      <c r="B18" s="197">
        <f>'[22]TB Jan 09'!D62</f>
        <v>4747478.8099999996</v>
      </c>
      <c r="C18" s="200">
        <f>'[22]TB Jan 09'!D63</f>
        <v>407285.63</v>
      </c>
      <c r="D18" s="200">
        <f>'[22]TB Jan 09'!D64</f>
        <v>169170.94</v>
      </c>
      <c r="E18" s="200">
        <f>'[22]TB Jan 09'!D65</f>
        <v>296328.09999999998</v>
      </c>
      <c r="F18" s="200">
        <f t="shared" si="0"/>
        <v>5620263.4799999995</v>
      </c>
      <c r="G18" s="202"/>
      <c r="H18" s="157"/>
      <c r="I18" s="196">
        <f t="shared" si="1"/>
        <v>5620263.4799999995</v>
      </c>
      <c r="J18" s="196">
        <f>-'[22]TB Jan 09'!D66</f>
        <v>-5620263.4799999995</v>
      </c>
      <c r="K18" s="201">
        <f t="shared" si="2"/>
        <v>0</v>
      </c>
      <c r="L18" s="23">
        <f t="shared" si="3"/>
        <v>0</v>
      </c>
    </row>
    <row r="19" spans="1:12" s="10" customFormat="1" ht="12.75" hidden="1" customHeight="1" outlineLevel="1" x14ac:dyDescent="0.25">
      <c r="A19" s="156" t="s">
        <v>175</v>
      </c>
      <c r="B19" s="203">
        <f>'[22]TB Dec 08 Revised'!H62</f>
        <v>-228244.55999999959</v>
      </c>
      <c r="C19" s="204">
        <f>'[22]TB Dec 08 Revised'!H63</f>
        <v>-21917.489999999991</v>
      </c>
      <c r="D19" s="204">
        <f>'[22]TB Dec 08 Revised'!H64</f>
        <v>-8337.4200000000128</v>
      </c>
      <c r="E19" s="204">
        <f>'[22]TB Dec 08 Revised'!H65</f>
        <v>-13736.110000000044</v>
      </c>
      <c r="F19" s="204">
        <f t="shared" si="0"/>
        <v>-272235.57999999961</v>
      </c>
      <c r="G19" s="202"/>
      <c r="H19" s="202"/>
      <c r="I19" s="196"/>
      <c r="J19" s="196"/>
      <c r="K19" s="201"/>
      <c r="L19" s="23">
        <f t="shared" si="3"/>
        <v>0</v>
      </c>
    </row>
    <row r="20" spans="1:12" s="10" customFormat="1" ht="12.75" customHeight="1" collapsed="1" x14ac:dyDescent="0.25">
      <c r="A20" s="8" t="s">
        <v>15</v>
      </c>
      <c r="B20" s="197">
        <f>B18+B19</f>
        <v>4519234.25</v>
      </c>
      <c r="C20" s="197">
        <f>C18+C19</f>
        <v>385368.14</v>
      </c>
      <c r="D20" s="197">
        <f>D18+D19</f>
        <v>160833.51999999999</v>
      </c>
      <c r="E20" s="197">
        <f>E18+E19</f>
        <v>282591.98999999993</v>
      </c>
      <c r="F20" s="200">
        <f t="shared" si="0"/>
        <v>5348027.8999999994</v>
      </c>
      <c r="G20" s="202">
        <f>'[22]2008 Accrual Monthly'!G165+'2009 Accrual Monthly'!F18+'2009 Accrual Monthly'!F19</f>
        <v>29633173.760000002</v>
      </c>
      <c r="H20" s="202">
        <f>'[22]TB Jan 09'!E66</f>
        <v>29633173.759999998</v>
      </c>
      <c r="I20" s="196"/>
      <c r="J20" s="196"/>
      <c r="K20" s="201"/>
      <c r="L20" s="23"/>
    </row>
    <row r="21" spans="1:12" s="199" customFormat="1" ht="12.75" customHeight="1" thickBot="1" x14ac:dyDescent="0.3">
      <c r="A21" s="205" t="s">
        <v>16</v>
      </c>
      <c r="B21" s="206">
        <f>SUM(B7:B17)+B20</f>
        <v>4920851354.8743706</v>
      </c>
      <c r="C21" s="206">
        <f>SUM(C7:C17)+C20</f>
        <v>400739655.21157527</v>
      </c>
      <c r="D21" s="206">
        <f>SUM(D7:D17)+D20</f>
        <v>103226915.33612473</v>
      </c>
      <c r="E21" s="206">
        <f>SUM(E7:E17)+E20</f>
        <v>293519930.64742321</v>
      </c>
      <c r="F21" s="207">
        <f>SUM(B21:E21)</f>
        <v>5718337856.0694933</v>
      </c>
      <c r="G21" s="208">
        <f>SUM(G11:G20)</f>
        <v>-114085611.42759971</v>
      </c>
      <c r="H21" s="208">
        <f>SUM(H11:H20)</f>
        <v>-114085611.42759973</v>
      </c>
      <c r="I21" s="208">
        <f>SUM(I11:I18)</f>
        <v>-77374653.217599958</v>
      </c>
      <c r="J21" s="208">
        <f>SUM(J11:J18)</f>
        <v>77374653.217599958</v>
      </c>
    </row>
    <row r="22" spans="1:12" s="199" customFormat="1" ht="12.75" customHeight="1" thickTop="1" x14ac:dyDescent="0.25">
      <c r="A22" s="205"/>
      <c r="B22" s="209"/>
      <c r="C22" s="210"/>
      <c r="D22" s="210"/>
      <c r="E22" s="210"/>
      <c r="F22" s="195"/>
      <c r="G22" s="195"/>
      <c r="H22" s="195"/>
      <c r="I22" s="195"/>
      <c r="J22" s="195"/>
    </row>
    <row r="23" spans="1:12" s="10" customFormat="1" ht="12.75" customHeight="1" x14ac:dyDescent="0.25">
      <c r="A23" s="8"/>
      <c r="B23" s="196"/>
      <c r="C23" s="211"/>
      <c r="D23" s="8"/>
      <c r="E23" s="8"/>
      <c r="F23" s="196"/>
      <c r="G23" s="198" t="s">
        <v>32</v>
      </c>
      <c r="H23" s="198" t="s">
        <v>32</v>
      </c>
      <c r="I23" s="198" t="s">
        <v>31</v>
      </c>
      <c r="J23" s="198" t="s">
        <v>31</v>
      </c>
    </row>
    <row r="24" spans="1:12" s="10" customFormat="1" ht="12.75" customHeight="1" x14ac:dyDescent="0.25">
      <c r="A24" s="15" t="s">
        <v>17</v>
      </c>
      <c r="B24" s="212"/>
      <c r="C24" s="213"/>
      <c r="D24" s="213"/>
      <c r="E24" s="213"/>
      <c r="F24" s="212"/>
      <c r="G24" s="198" t="s">
        <v>44</v>
      </c>
      <c r="H24" s="199" t="s">
        <v>45</v>
      </c>
      <c r="I24" s="198" t="s">
        <v>44</v>
      </c>
      <c r="J24" s="199" t="s">
        <v>45</v>
      </c>
      <c r="K24" s="198" t="s">
        <v>85</v>
      </c>
    </row>
    <row r="25" spans="1:12" s="10" customFormat="1" ht="12.75" customHeight="1" x14ac:dyDescent="0.25">
      <c r="A25" s="8" t="s">
        <v>8</v>
      </c>
      <c r="B25" s="197">
        <f>'[22]TB Feb 09'!D9</f>
        <v>166274031.22999999</v>
      </c>
      <c r="C25" s="200">
        <f>'[22]TB Feb 09'!D10</f>
        <v>301353840.63999999</v>
      </c>
      <c r="D25" s="200">
        <f>'[22]TB Feb 09'!D11</f>
        <v>62441739.280000001</v>
      </c>
      <c r="E25" s="200">
        <f>'[22]TB Feb 09'!D12</f>
        <v>10743844.48</v>
      </c>
      <c r="F25" s="195">
        <f>SUM(B25:E25)</f>
        <v>540813455.63</v>
      </c>
      <c r="G25" s="197">
        <f>F25+G11</f>
        <v>3001140562.04</v>
      </c>
      <c r="H25" s="197">
        <f>'[22]TB Feb 09'!E14</f>
        <v>3001140562.04</v>
      </c>
      <c r="I25" s="196">
        <f>F25</f>
        <v>540813455.63</v>
      </c>
      <c r="J25" s="23">
        <f>-'[22]TB Feb 09'!D14</f>
        <v>-540813455.63</v>
      </c>
      <c r="K25" s="201">
        <f>+J25+I25</f>
        <v>0</v>
      </c>
      <c r="L25" s="23">
        <f>+G25-H25</f>
        <v>0</v>
      </c>
    </row>
    <row r="26" spans="1:12" s="10" customFormat="1" ht="12.75" customHeight="1" x14ac:dyDescent="0.25">
      <c r="A26" s="8" t="s">
        <v>9</v>
      </c>
      <c r="B26" s="211">
        <f>'[22]TB Feb 09'!D16</f>
        <v>108290.93</v>
      </c>
      <c r="C26" s="211">
        <f>'[22]TB Feb 09'!D17</f>
        <v>196122.08</v>
      </c>
      <c r="D26" s="211">
        <f>'[22]TB Feb 09'!D18</f>
        <v>40682.99</v>
      </c>
      <c r="E26" s="211">
        <f>'[22]TB Feb 09'!D19</f>
        <v>6946.88</v>
      </c>
      <c r="F26" s="195">
        <f t="shared" ref="F26:F32" si="4">SUM(B26:E26)</f>
        <v>352042.88</v>
      </c>
      <c r="G26" s="197">
        <f>G12+F26</f>
        <v>2171721.4299999997</v>
      </c>
      <c r="H26" s="138">
        <f>'[22]TB Feb 09'!E20</f>
        <v>2171721.4299999997</v>
      </c>
      <c r="I26" s="196">
        <f t="shared" ref="I26:I32" si="5">F26</f>
        <v>352042.88</v>
      </c>
      <c r="J26" s="196">
        <f>-'[22]TB Feb 09'!D20</f>
        <v>-352042.88</v>
      </c>
      <c r="K26" s="201">
        <f t="shared" ref="K26:K32" si="6">+J26+I26</f>
        <v>0</v>
      </c>
      <c r="L26" s="23">
        <f t="shared" ref="L26:L33" si="7">+G26-H26</f>
        <v>0</v>
      </c>
    </row>
    <row r="27" spans="1:12" s="10" customFormat="1" ht="12.75" customHeight="1" x14ac:dyDescent="0.25">
      <c r="A27" s="8" t="s">
        <v>10</v>
      </c>
      <c r="B27" s="196">
        <f>'[22]TB Feb 09'!D22</f>
        <v>43497.08</v>
      </c>
      <c r="C27" s="211">
        <f>'[22]TB Feb 09'!D23</f>
        <v>78778.42</v>
      </c>
      <c r="D27" s="211">
        <f>'[22]TB Feb 09'!D24</f>
        <v>16332.59</v>
      </c>
      <c r="E27" s="211">
        <f>'[22]TB Feb 09'!D25</f>
        <v>2799.92</v>
      </c>
      <c r="F27" s="195">
        <f t="shared" si="4"/>
        <v>141408.01</v>
      </c>
      <c r="G27" s="197">
        <f>F27+G13</f>
        <v>971592.52240000002</v>
      </c>
      <c r="H27" s="197">
        <f>'[22]TB Feb 09'!E26</f>
        <v>971592.52240000002</v>
      </c>
      <c r="I27" s="196">
        <f t="shared" si="5"/>
        <v>141408.01</v>
      </c>
      <c r="J27" s="196">
        <f>-'[22]TB Feb 09'!D26</f>
        <v>-141408.01</v>
      </c>
      <c r="K27" s="201">
        <f t="shared" si="6"/>
        <v>0</v>
      </c>
      <c r="L27" s="23">
        <f t="shared" si="7"/>
        <v>0</v>
      </c>
    </row>
    <row r="28" spans="1:12" s="10" customFormat="1" ht="12.75" customHeight="1" x14ac:dyDescent="0.25">
      <c r="A28" s="8" t="s">
        <v>11</v>
      </c>
      <c r="B28" s="196">
        <f>'[22]TB Feb 09'!D28</f>
        <v>0</v>
      </c>
      <c r="C28" s="211">
        <f>'[22]TB Feb 09'!E29</f>
        <v>0</v>
      </c>
      <c r="D28" s="211">
        <f>'[22]TB Feb 09'!E30</f>
        <v>0</v>
      </c>
      <c r="E28" s="211">
        <f>'[22]TB Feb 09'!E31</f>
        <v>0</v>
      </c>
      <c r="F28" s="195">
        <f t="shared" si="4"/>
        <v>0</v>
      </c>
      <c r="G28" s="197">
        <f>F28+G14</f>
        <v>0</v>
      </c>
      <c r="H28" s="197">
        <f>'[22]TB Feb 09'!E32</f>
        <v>0</v>
      </c>
      <c r="I28" s="196">
        <f t="shared" si="5"/>
        <v>0</v>
      </c>
      <c r="J28" s="196">
        <f>G28</f>
        <v>0</v>
      </c>
      <c r="K28" s="201">
        <f t="shared" si="6"/>
        <v>0</v>
      </c>
      <c r="L28" s="23">
        <f t="shared" si="7"/>
        <v>0</v>
      </c>
    </row>
    <row r="29" spans="1:12" s="10" customFormat="1" ht="12.75" customHeight="1" x14ac:dyDescent="0.25">
      <c r="A29" s="8" t="s">
        <v>12</v>
      </c>
      <c r="B29" s="196">
        <f>'[22]TB Feb 09'!D34</f>
        <v>-1620382.88</v>
      </c>
      <c r="C29" s="211">
        <f>'[22]TB Feb 09'!D35</f>
        <v>-317117.15999999997</v>
      </c>
      <c r="D29" s="211">
        <f>'[22]TB Feb 09'!D36</f>
        <v>-65637.11</v>
      </c>
      <c r="E29" s="211">
        <f>'[22]TB Feb 09'!D37</f>
        <v>-11203.35</v>
      </c>
      <c r="F29" s="195">
        <f>SUM(B29:E29)</f>
        <v>-2014340.5</v>
      </c>
      <c r="G29" s="197">
        <f>F29+G15</f>
        <v>6033.4799999997485</v>
      </c>
      <c r="H29" s="197">
        <f>'[22]TB Feb 09'!E38</f>
        <v>6033.4799999998941</v>
      </c>
      <c r="I29" s="196">
        <f t="shared" si="5"/>
        <v>-2014340.5</v>
      </c>
      <c r="J29" s="196">
        <f>-'[22]TB Feb 09'!D38</f>
        <v>2014340.5</v>
      </c>
      <c r="K29" s="201">
        <f t="shared" si="6"/>
        <v>0</v>
      </c>
      <c r="L29" s="233">
        <f t="shared" si="7"/>
        <v>-1.4551915228366852E-10</v>
      </c>
    </row>
    <row r="30" spans="1:12" s="10" customFormat="1" ht="12.75" customHeight="1" x14ac:dyDescent="0.25">
      <c r="A30" s="8" t="s">
        <v>13</v>
      </c>
      <c r="B30" s="196">
        <f>'[22]TB Feb TB final'!D40</f>
        <v>-119824274.04000001</v>
      </c>
      <c r="C30" s="211">
        <f>'[22]TB Feb TB final'!D41</f>
        <v>-342459028.14999998</v>
      </c>
      <c r="D30" s="211">
        <f>'[22]TB Feb TB final'!D42</f>
        <v>-72043813.239999995</v>
      </c>
      <c r="E30" s="211">
        <f>'[22]TB Feb TB final'!D43</f>
        <v>-2452248.5299999998</v>
      </c>
      <c r="F30" s="195">
        <f t="shared" si="4"/>
        <v>-536779363.95999998</v>
      </c>
      <c r="G30" s="197">
        <f>F30+G16</f>
        <v>-3113559167.79</v>
      </c>
      <c r="H30" s="197">
        <f>'[22]TB Feb TB final'!E44</f>
        <v>-3113559167.79</v>
      </c>
      <c r="I30" s="196">
        <f t="shared" si="5"/>
        <v>-536779363.95999998</v>
      </c>
      <c r="J30" s="196">
        <f>-'[22]TB Feb TB final'!D44</f>
        <v>536779363.95999998</v>
      </c>
      <c r="K30" s="201">
        <f t="shared" si="6"/>
        <v>0</v>
      </c>
      <c r="L30" s="23">
        <f t="shared" si="7"/>
        <v>0</v>
      </c>
    </row>
    <row r="31" spans="1:12" s="10" customFormat="1" ht="12.75" customHeight="1" x14ac:dyDescent="0.25">
      <c r="A31" s="8" t="s">
        <v>14</v>
      </c>
      <c r="B31" s="196">
        <f>'[22]TB Feb TB final'!D56</f>
        <v>-13642098.74</v>
      </c>
      <c r="C31" s="211">
        <f>'[22]TB Feb TB final'!D57</f>
        <v>-9245287.1799999997</v>
      </c>
      <c r="D31" s="211">
        <f>'[22]TB Feb TB final'!D58</f>
        <v>153896.54999999999</v>
      </c>
      <c r="E31" s="211">
        <f>'[22]TB Feb TB final'!D59</f>
        <v>-687325.19</v>
      </c>
      <c r="F31" s="195">
        <f t="shared" si="4"/>
        <v>-23420814.560000002</v>
      </c>
      <c r="G31" s="197">
        <f>F31+G17</f>
        <v>-55357139.370000005</v>
      </c>
      <c r="H31" s="197">
        <f>'[22]TB Feb 09'!E60</f>
        <v>-55357139.370000005</v>
      </c>
      <c r="I31" s="196">
        <f t="shared" si="5"/>
        <v>-23420814.560000002</v>
      </c>
      <c r="J31" s="196">
        <f>-'[22]TB Feb 09'!D60</f>
        <v>23420814.560000002</v>
      </c>
      <c r="K31" s="201">
        <f t="shared" si="6"/>
        <v>0</v>
      </c>
      <c r="L31" s="23">
        <f t="shared" si="7"/>
        <v>0</v>
      </c>
    </row>
    <row r="32" spans="1:12" s="10" customFormat="1" ht="12.75" customHeight="1" x14ac:dyDescent="0.25">
      <c r="A32" s="8" t="s">
        <v>15</v>
      </c>
      <c r="B32" s="196">
        <f>'[22]TB Feb 09'!D62</f>
        <v>3472336.98</v>
      </c>
      <c r="C32" s="196">
        <f>'[22]TB Feb 09'!D63</f>
        <v>264868.34000000003</v>
      </c>
      <c r="D32" s="196">
        <f>'[22]TB Feb 09'!D64</f>
        <v>116614.1</v>
      </c>
      <c r="E32" s="196">
        <f>'[22]TB Feb 09'!D65</f>
        <v>217267.19</v>
      </c>
      <c r="F32" s="195">
        <f t="shared" si="4"/>
        <v>4071086.61</v>
      </c>
      <c r="G32" s="200">
        <f>F32+G20</f>
        <v>33704260.370000005</v>
      </c>
      <c r="H32" s="200">
        <f>'[22]TB Feb 09'!E66</f>
        <v>33704260.369999997</v>
      </c>
      <c r="I32" s="196">
        <f t="shared" si="5"/>
        <v>4071086.61</v>
      </c>
      <c r="J32" s="196">
        <f>-'[22]TB Feb 09'!D66</f>
        <v>-4071086.61</v>
      </c>
      <c r="K32" s="201">
        <f t="shared" si="6"/>
        <v>0</v>
      </c>
      <c r="L32" s="23">
        <f t="shared" si="7"/>
        <v>0</v>
      </c>
    </row>
    <row r="33" spans="1:12" s="10" customFormat="1" ht="12.75" customHeight="1" x14ac:dyDescent="0.25">
      <c r="A33" s="8" t="s">
        <v>79</v>
      </c>
      <c r="B33" s="197">
        <v>0</v>
      </c>
      <c r="C33" s="197">
        <v>0</v>
      </c>
      <c r="D33" s="197">
        <v>0</v>
      </c>
      <c r="E33" s="197">
        <v>0</v>
      </c>
      <c r="F33" s="197">
        <v>0</v>
      </c>
      <c r="G33" s="197">
        <v>0</v>
      </c>
      <c r="H33" s="197">
        <v>0</v>
      </c>
      <c r="I33" s="197">
        <v>0</v>
      </c>
      <c r="J33" s="197">
        <v>0</v>
      </c>
      <c r="K33" s="197">
        <v>0</v>
      </c>
      <c r="L33" s="23">
        <f t="shared" si="7"/>
        <v>0</v>
      </c>
    </row>
    <row r="34" spans="1:12" s="199" customFormat="1" ht="12.75" customHeight="1" thickBot="1" x14ac:dyDescent="0.3">
      <c r="A34" s="205" t="s">
        <v>16</v>
      </c>
      <c r="B34" s="206">
        <f>SUM(B21:B32)</f>
        <v>4955662755.43437</v>
      </c>
      <c r="C34" s="206">
        <f>SUM(C21:C32)</f>
        <v>350611832.20157528</v>
      </c>
      <c r="D34" s="206">
        <f>SUM(D21:D32)</f>
        <v>93886730.496124744</v>
      </c>
      <c r="E34" s="206">
        <f>SUM(E21:E32)</f>
        <v>301340012.04742324</v>
      </c>
      <c r="F34" s="207">
        <f>SUM(B34:E34)</f>
        <v>5701501330.1794939</v>
      </c>
      <c r="G34" s="195">
        <f>SUM(G25:G32)</f>
        <v>-130922137.31760025</v>
      </c>
      <c r="H34" s="195">
        <f>SUM(H25:H32)</f>
        <v>-130922137.31760025</v>
      </c>
      <c r="I34" s="201">
        <f>SUM(I25:I32)</f>
        <v>-16836525.890000001</v>
      </c>
      <c r="J34" s="214">
        <f>SUM(J25:J32)</f>
        <v>16836525.890000001</v>
      </c>
      <c r="K34" s="201"/>
      <c r="L34" s="23"/>
    </row>
    <row r="35" spans="1:12" s="199" customFormat="1" ht="12.75" customHeight="1" thickTop="1" x14ac:dyDescent="0.25">
      <c r="A35" s="205"/>
      <c r="B35" s="209"/>
      <c r="C35" s="209"/>
      <c r="D35" s="209"/>
      <c r="E35" s="209"/>
      <c r="F35" s="195"/>
      <c r="G35" s="195"/>
      <c r="H35" s="195"/>
      <c r="I35" s="201"/>
      <c r="J35" s="214"/>
      <c r="K35" s="201"/>
    </row>
    <row r="36" spans="1:12" s="10" customFormat="1" ht="12.75" customHeight="1" x14ac:dyDescent="0.25">
      <c r="A36" s="8"/>
      <c r="B36" s="196"/>
      <c r="C36" s="196"/>
      <c r="F36" s="196"/>
      <c r="G36" s="198" t="s">
        <v>32</v>
      </c>
      <c r="H36" s="198" t="s">
        <v>32</v>
      </c>
      <c r="I36" s="198" t="s">
        <v>31</v>
      </c>
      <c r="J36" s="198" t="s">
        <v>31</v>
      </c>
    </row>
    <row r="37" spans="1:12" s="10" customFormat="1" ht="12.75" customHeight="1" x14ac:dyDescent="0.25">
      <c r="A37" s="15" t="s">
        <v>18</v>
      </c>
      <c r="B37" s="212"/>
      <c r="C37" s="212"/>
      <c r="D37" s="22"/>
      <c r="E37" s="22"/>
      <c r="F37" s="212"/>
      <c r="G37" s="198" t="s">
        <v>44</v>
      </c>
      <c r="H37" s="199" t="s">
        <v>45</v>
      </c>
      <c r="I37" s="198" t="s">
        <v>44</v>
      </c>
      <c r="J37" s="199" t="s">
        <v>45</v>
      </c>
      <c r="K37" s="198" t="s">
        <v>85</v>
      </c>
    </row>
    <row r="38" spans="1:12" s="10" customFormat="1" ht="12.75" customHeight="1" x14ac:dyDescent="0.25">
      <c r="A38" s="8" t="s">
        <v>8</v>
      </c>
      <c r="B38" s="215">
        <f>'[22]TB Mar 09'!D9</f>
        <v>165181188.47999999</v>
      </c>
      <c r="C38" s="215">
        <f>'[22]TB Mar 09'!D10</f>
        <v>299072490</v>
      </c>
      <c r="D38" s="215">
        <f>'[22]TB Mar 09'!D11</f>
        <v>62016993.460000001</v>
      </c>
      <c r="E38" s="215">
        <f>'[22]TB Mar 09'!D12</f>
        <v>10627564.949999999</v>
      </c>
      <c r="F38" s="215">
        <f>SUM(B38:E38)</f>
        <v>536898236.88999999</v>
      </c>
      <c r="G38" s="197">
        <f t="shared" ref="G38:G45" si="8">F38+G25</f>
        <v>3538038798.9299998</v>
      </c>
      <c r="H38" s="197">
        <f>'[22]TB Mar 09'!E14</f>
        <v>3538038798.9299998</v>
      </c>
      <c r="I38" s="196">
        <f>F38</f>
        <v>536898236.88999999</v>
      </c>
      <c r="J38" s="23">
        <f>-'[22]TB Mar 09'!D14</f>
        <v>-536898236.88999999</v>
      </c>
      <c r="K38" s="201">
        <f>+J38+I38</f>
        <v>0</v>
      </c>
      <c r="L38" s="23">
        <f>+G38-H38</f>
        <v>0</v>
      </c>
    </row>
    <row r="39" spans="1:12" s="10" customFormat="1" ht="12.75" customHeight="1" x14ac:dyDescent="0.25">
      <c r="A39" s="8" t="s">
        <v>9</v>
      </c>
      <c r="B39" s="215">
        <f>'[22]TB Mar 09'!D16</f>
        <v>-2451.65</v>
      </c>
      <c r="C39" s="215">
        <f>'[22]TB Mar 09'!D17</f>
        <v>-4336.71</v>
      </c>
      <c r="D39" s="215">
        <f>'[22]TB Mar 09'!D18</f>
        <v>-909.24</v>
      </c>
      <c r="E39" s="215">
        <f>'[22]TB Mar 09'!D19</f>
        <v>-136.86000000000001</v>
      </c>
      <c r="F39" s="215">
        <f t="shared" ref="F39:G46" si="9">SUM(B39:E39)</f>
        <v>-7834.46</v>
      </c>
      <c r="G39" s="197">
        <f t="shared" si="8"/>
        <v>2163886.9699999997</v>
      </c>
      <c r="H39" s="65">
        <f>'[22]TB Mar 09'!E20</f>
        <v>2163886.9699999997</v>
      </c>
      <c r="I39" s="196">
        <f t="shared" ref="I39:I46" si="10">F39</f>
        <v>-7834.46</v>
      </c>
      <c r="J39" s="196">
        <f>-'[22]TB Mar 09'!D20</f>
        <v>7834.46</v>
      </c>
      <c r="K39" s="201">
        <f t="shared" ref="K39:K45" si="11">+J39+I39</f>
        <v>0</v>
      </c>
      <c r="L39" s="23">
        <f t="shared" ref="L39:L46" si="12">+G39-H39</f>
        <v>0</v>
      </c>
    </row>
    <row r="40" spans="1:12" s="10" customFormat="1" ht="12.75" customHeight="1" x14ac:dyDescent="0.25">
      <c r="A40" s="8" t="s">
        <v>10</v>
      </c>
      <c r="B40" s="215">
        <f>'[22]TB Mar 09'!D22</f>
        <v>34830.269999999997</v>
      </c>
      <c r="C40" s="215">
        <f>'[22]TB Mar 09'!D23</f>
        <v>63081.73</v>
      </c>
      <c r="D40" s="215">
        <f>'[22]TB Mar 09'!D24</f>
        <v>13078.31</v>
      </c>
      <c r="E40" s="215">
        <f>'[22]TB Mar 09'!D25</f>
        <v>2242.0100000000002</v>
      </c>
      <c r="F40" s="215">
        <f t="shared" si="9"/>
        <v>113232.31999999999</v>
      </c>
      <c r="G40" s="197">
        <f t="shared" si="8"/>
        <v>1084824.8424</v>
      </c>
      <c r="H40" s="197">
        <f>'[22]TB Mar 09'!E26</f>
        <v>1084824.8424</v>
      </c>
      <c r="I40" s="196">
        <f t="shared" si="10"/>
        <v>113232.31999999999</v>
      </c>
      <c r="J40" s="196">
        <f>-'[22]TB Mar 09'!D26</f>
        <v>-113232.31999999999</v>
      </c>
      <c r="K40" s="201">
        <f t="shared" si="11"/>
        <v>0</v>
      </c>
      <c r="L40" s="23">
        <f t="shared" si="12"/>
        <v>0</v>
      </c>
    </row>
    <row r="41" spans="1:12" s="10" customFormat="1" ht="12.75" customHeight="1" x14ac:dyDescent="0.25">
      <c r="A41" s="8" t="s">
        <v>11</v>
      </c>
      <c r="B41" s="196">
        <f>'[22]TB Mar 09'!D28</f>
        <v>0</v>
      </c>
      <c r="C41" s="196">
        <f>'[22]TB Mar 09'!D29</f>
        <v>0</v>
      </c>
      <c r="D41" s="196">
        <f>'[22]TB Mar 09'!D30</f>
        <v>0</v>
      </c>
      <c r="E41" s="196">
        <f>'[22]TB Mar 09'!D31</f>
        <v>0</v>
      </c>
      <c r="F41" s="197">
        <f t="shared" si="9"/>
        <v>0</v>
      </c>
      <c r="G41" s="197">
        <f t="shared" si="8"/>
        <v>0</v>
      </c>
      <c r="H41" s="197">
        <f>'[22]TB Mar 09'!E32</f>
        <v>0</v>
      </c>
      <c r="I41" s="196">
        <f t="shared" si="10"/>
        <v>0</v>
      </c>
      <c r="J41" s="196">
        <f>G41</f>
        <v>0</v>
      </c>
      <c r="K41" s="201">
        <f t="shared" si="11"/>
        <v>0</v>
      </c>
      <c r="L41" s="23">
        <f t="shared" si="12"/>
        <v>0</v>
      </c>
    </row>
    <row r="42" spans="1:12" s="10" customFormat="1" ht="12.75" customHeight="1" x14ac:dyDescent="0.25">
      <c r="A42" s="8" t="s">
        <v>12</v>
      </c>
      <c r="B42" s="216">
        <f>'[22]TB Mar 09'!D34</f>
        <v>-326086.14</v>
      </c>
      <c r="C42" s="216">
        <f>'[22]TB Mar 09'!D35</f>
        <v>-569742.37</v>
      </c>
      <c r="D42" s="216">
        <f>'[22]TB Mar 09'!D36</f>
        <v>-117944.08</v>
      </c>
      <c r="E42" s="216">
        <f>'[22]TB Mar 09'!D37</f>
        <v>-20166.22</v>
      </c>
      <c r="F42" s="215">
        <f t="shared" si="9"/>
        <v>-1033938.8099999999</v>
      </c>
      <c r="G42" s="197">
        <f t="shared" si="8"/>
        <v>-1027905.3300000002</v>
      </c>
      <c r="H42" s="197">
        <f>'[22]TB Mar 09'!E38</f>
        <v>-1027905.3300000001</v>
      </c>
      <c r="I42" s="196">
        <f t="shared" si="10"/>
        <v>-1033938.8099999999</v>
      </c>
      <c r="J42" s="196">
        <f>-'[22]TB Mar 09'!D38</f>
        <v>1033938.8099999999</v>
      </c>
      <c r="K42" s="201">
        <f t="shared" si="11"/>
        <v>0</v>
      </c>
      <c r="L42" s="23">
        <f t="shared" si="12"/>
        <v>0</v>
      </c>
    </row>
    <row r="43" spans="1:12" s="10" customFormat="1" ht="12.75" customHeight="1" x14ac:dyDescent="0.25">
      <c r="A43" s="8" t="s">
        <v>13</v>
      </c>
      <c r="B43" s="216">
        <f>'[22]TB Mar 09'!D40</f>
        <v>-129818815.11</v>
      </c>
      <c r="C43" s="216">
        <f>'[22]TB Mar 09'!D41</f>
        <v>-345891064.44999999</v>
      </c>
      <c r="D43" s="216">
        <f>'[22]TB Mar 09'!D42</f>
        <v>-73265569.950000003</v>
      </c>
      <c r="E43" s="216">
        <f>'[22]TB Mar 09'!D43</f>
        <v>-3280650.41</v>
      </c>
      <c r="F43" s="215">
        <f>SUM(B43:E43)</f>
        <v>-552256099.91999996</v>
      </c>
      <c r="G43" s="197">
        <f t="shared" si="8"/>
        <v>-3665815267.71</v>
      </c>
      <c r="H43" s="197">
        <f>'[22]TB Mar 09'!E44</f>
        <v>-3665815267.7099996</v>
      </c>
      <c r="I43" s="196">
        <f t="shared" si="10"/>
        <v>-552256099.91999996</v>
      </c>
      <c r="J43" s="196">
        <f>-'[22]TB Mar 09'!D44</f>
        <v>552256099.91999996</v>
      </c>
      <c r="K43" s="201">
        <f t="shared" si="11"/>
        <v>0</v>
      </c>
      <c r="L43" s="23">
        <f t="shared" si="12"/>
        <v>0</v>
      </c>
    </row>
    <row r="44" spans="1:12" s="10" customFormat="1" ht="12.75" customHeight="1" x14ac:dyDescent="0.25">
      <c r="A44" s="8" t="s">
        <v>14</v>
      </c>
      <c r="B44" s="216">
        <f>'[22]TB Mar 09'!D56</f>
        <v>-8793968</v>
      </c>
      <c r="C44" s="216">
        <f>'[22]TB Mar 09'!D57</f>
        <v>-6512783.9900000002</v>
      </c>
      <c r="D44" s="216">
        <f>'[22]TB Mar 09'!D58</f>
        <v>289446.2</v>
      </c>
      <c r="E44" s="215">
        <f>'[22]TB Mar 09'!D59</f>
        <v>-825772.3</v>
      </c>
      <c r="F44" s="215">
        <f t="shared" si="9"/>
        <v>-15843078.090000002</v>
      </c>
      <c r="G44" s="197">
        <f t="shared" si="8"/>
        <v>-71200217.460000008</v>
      </c>
      <c r="H44" s="197">
        <f>'[22]TB Mar 09'!E60</f>
        <v>-71200217.460000008</v>
      </c>
      <c r="I44" s="196">
        <f t="shared" si="10"/>
        <v>-15843078.090000002</v>
      </c>
      <c r="J44" s="196">
        <f>-'[22]TB Mar 09'!D60</f>
        <v>15843078.090000002</v>
      </c>
      <c r="K44" s="201">
        <f t="shared" si="11"/>
        <v>0</v>
      </c>
      <c r="L44" s="23">
        <f t="shared" si="12"/>
        <v>0</v>
      </c>
    </row>
    <row r="45" spans="1:12" s="10" customFormat="1" ht="12.75" customHeight="1" x14ac:dyDescent="0.25">
      <c r="A45" s="8" t="s">
        <v>15</v>
      </c>
      <c r="B45" s="168">
        <f>'[22]TB Mar 09'!D62</f>
        <v>3175879.83</v>
      </c>
      <c r="C45" s="216">
        <f>'[22]TB Mar 09'!D63</f>
        <v>240351.64</v>
      </c>
      <c r="D45" s="168">
        <f>'[22]TB Mar 09'!D64</f>
        <v>104843.25</v>
      </c>
      <c r="E45" s="168">
        <f>'[22]TB Mar 09'!D65</f>
        <v>200864.19</v>
      </c>
      <c r="F45" s="215">
        <f t="shared" si="9"/>
        <v>3721938.91</v>
      </c>
      <c r="G45" s="197">
        <f t="shared" si="8"/>
        <v>37426199.280000001</v>
      </c>
      <c r="H45" s="197">
        <f>'[22]TB Mar 09'!E66</f>
        <v>37426199.280000001</v>
      </c>
      <c r="I45" s="196">
        <f t="shared" si="10"/>
        <v>3721938.91</v>
      </c>
      <c r="J45" s="196">
        <f>-'[22]TB Mar 09'!D66</f>
        <v>-3721938.91</v>
      </c>
      <c r="K45" s="201">
        <f t="shared" si="11"/>
        <v>0</v>
      </c>
      <c r="L45" s="23">
        <f t="shared" si="12"/>
        <v>0</v>
      </c>
    </row>
    <row r="46" spans="1:12" s="10" customFormat="1" ht="12.75" customHeight="1" x14ac:dyDescent="0.25">
      <c r="A46" s="8" t="s">
        <v>79</v>
      </c>
      <c r="B46" s="197">
        <f>'[22]TB Mar 09'!D50</f>
        <v>0</v>
      </c>
      <c r="C46" s="197">
        <f>'[22]TB Mar 09'!E50</f>
        <v>0</v>
      </c>
      <c r="D46" s="197">
        <v>0</v>
      </c>
      <c r="E46" s="197">
        <v>0</v>
      </c>
      <c r="F46" s="197">
        <f t="shared" si="9"/>
        <v>0</v>
      </c>
      <c r="G46" s="197">
        <f t="shared" si="9"/>
        <v>0</v>
      </c>
      <c r="H46" s="197">
        <f>'[22]TB Mar 09'!E54</f>
        <v>0</v>
      </c>
      <c r="I46" s="196">
        <f t="shared" si="10"/>
        <v>0</v>
      </c>
      <c r="J46" s="23">
        <f>-'[22]TB Jan 09'!D46</f>
        <v>0</v>
      </c>
      <c r="K46" s="201">
        <f>+J46+I46</f>
        <v>0</v>
      </c>
      <c r="L46" s="23">
        <f t="shared" si="12"/>
        <v>0</v>
      </c>
    </row>
    <row r="47" spans="1:12" s="199" customFormat="1" ht="12.75" customHeight="1" thickBot="1" x14ac:dyDescent="0.3">
      <c r="A47" s="205" t="s">
        <v>16</v>
      </c>
      <c r="B47" s="206">
        <f>SUM(B34:B46)</f>
        <v>4985113333.1143703</v>
      </c>
      <c r="C47" s="206">
        <f>SUM(C34:C46)</f>
        <v>297009828.05157524</v>
      </c>
      <c r="D47" s="206">
        <f>SUM(D34:D46)</f>
        <v>82926668.446124732</v>
      </c>
      <c r="E47" s="206">
        <f>SUM(E34:E46)</f>
        <v>308043957.40742314</v>
      </c>
      <c r="F47" s="206">
        <f>SUM(F34:F46)</f>
        <v>5673093787.0194931</v>
      </c>
      <c r="G47" s="195">
        <f>SUM(G38:G46)</f>
        <v>-159329680.47760028</v>
      </c>
      <c r="H47" s="195">
        <f>SUM(H38:H46)</f>
        <v>-159329680.4775998</v>
      </c>
      <c r="I47" s="195">
        <f>SUM(I38:I46)</f>
        <v>-28407543.159999963</v>
      </c>
      <c r="J47" s="195">
        <f>SUM(J38:J46)</f>
        <v>28407543.159999963</v>
      </c>
      <c r="K47" s="201">
        <f>+J47+I47</f>
        <v>0</v>
      </c>
      <c r="L47" s="23"/>
    </row>
    <row r="48" spans="1:12" s="199" customFormat="1" ht="12.75" customHeight="1" thickTop="1" thickBot="1" x14ac:dyDescent="0.3">
      <c r="A48" s="205"/>
      <c r="B48" s="194"/>
      <c r="C48" s="194"/>
      <c r="D48" s="194"/>
      <c r="E48" s="194"/>
      <c r="F48" s="207"/>
      <c r="G48" s="195"/>
      <c r="H48" s="195"/>
      <c r="I48" s="198"/>
    </row>
    <row r="49" spans="1:12" s="10" customFormat="1" ht="12.75" customHeight="1" thickTop="1" x14ac:dyDescent="0.25">
      <c r="A49" s="8"/>
      <c r="B49" s="196"/>
      <c r="C49" s="196"/>
      <c r="D49" s="196"/>
      <c r="E49" s="196"/>
      <c r="F49" s="196"/>
      <c r="G49" s="198" t="s">
        <v>32</v>
      </c>
      <c r="H49" s="198" t="s">
        <v>32</v>
      </c>
      <c r="I49" s="198" t="s">
        <v>31</v>
      </c>
      <c r="J49" s="198" t="s">
        <v>31</v>
      </c>
      <c r="K49" s="198" t="s">
        <v>85</v>
      </c>
    </row>
    <row r="50" spans="1:12" s="10" customFormat="1" ht="12.75" customHeight="1" x14ac:dyDescent="0.25">
      <c r="A50" s="15" t="s">
        <v>19</v>
      </c>
      <c r="B50" s="212"/>
      <c r="C50" s="212"/>
      <c r="D50" s="22"/>
      <c r="E50" s="22"/>
      <c r="F50" s="212"/>
      <c r="G50" s="198" t="s">
        <v>44</v>
      </c>
      <c r="H50" s="199" t="s">
        <v>45</v>
      </c>
      <c r="I50" s="198" t="s">
        <v>44</v>
      </c>
      <c r="J50" s="199" t="s">
        <v>45</v>
      </c>
    </row>
    <row r="51" spans="1:12" s="10" customFormat="1" ht="12.75" customHeight="1" x14ac:dyDescent="0.25">
      <c r="A51" s="8" t="s">
        <v>8</v>
      </c>
      <c r="B51" s="197">
        <f>'[22]TB April 04'!D9</f>
        <v>179999580.71000001</v>
      </c>
      <c r="C51" s="197">
        <f>'[22]TB April 04'!D10</f>
        <v>361171357.81</v>
      </c>
      <c r="D51" s="197">
        <f>'[22]TB April 04'!D11</f>
        <v>67343027.640000001</v>
      </c>
      <c r="E51" s="197">
        <f>'[22]TB April 04'!D12</f>
        <v>22657573.469999999</v>
      </c>
      <c r="F51" s="197">
        <f>+SUM(B51:E51)</f>
        <v>631171539.63</v>
      </c>
      <c r="G51" s="197">
        <f t="shared" ref="G51:G58" si="13">F51+G38</f>
        <v>4169210338.5599999</v>
      </c>
      <c r="H51" s="197">
        <f>'[22]TB April 04'!E14</f>
        <v>4169210338.5599999</v>
      </c>
      <c r="I51" s="196">
        <f>F51</f>
        <v>631171539.63</v>
      </c>
      <c r="J51" s="23">
        <f>-'[22]TB April 04'!D14</f>
        <v>-631171539.63</v>
      </c>
      <c r="K51" s="201">
        <f>+J51+I51</f>
        <v>0</v>
      </c>
      <c r="L51" s="23">
        <f>+G51-H51</f>
        <v>0</v>
      </c>
    </row>
    <row r="52" spans="1:12" s="10" customFormat="1" ht="12.75" customHeight="1" x14ac:dyDescent="0.25">
      <c r="A52" s="8" t="s">
        <v>9</v>
      </c>
      <c r="B52" s="197">
        <f>'[22]TB April 04'!D16</f>
        <v>96790.71</v>
      </c>
      <c r="C52" s="197">
        <f>'[22]TB April 04'!D17</f>
        <v>193088.47</v>
      </c>
      <c r="D52" s="197">
        <f>'[22]TB April 04'!D18</f>
        <v>36252.86</v>
      </c>
      <c r="E52" s="197">
        <f>'[22]TB April 04'!D19</f>
        <v>11802.63</v>
      </c>
      <c r="F52" s="197">
        <f t="shared" ref="F52:F59" si="14">+SUM(B52:E52)</f>
        <v>337934.67</v>
      </c>
      <c r="G52" s="197">
        <f t="shared" si="13"/>
        <v>2501821.6399999997</v>
      </c>
      <c r="H52" s="65">
        <f>'[22]TB April 04'!E20</f>
        <v>2501821.6399999997</v>
      </c>
      <c r="I52" s="196">
        <f t="shared" ref="I52:I58" si="15">F52</f>
        <v>337934.67</v>
      </c>
      <c r="J52" s="196">
        <f>-'[22]TB April 04'!D20</f>
        <v>-337934.67</v>
      </c>
      <c r="K52" s="201">
        <f t="shared" ref="K52:K58" si="16">+J52+I52</f>
        <v>0</v>
      </c>
      <c r="L52" s="23">
        <f t="shared" ref="L52:L59" si="17">+G52-H52</f>
        <v>0</v>
      </c>
    </row>
    <row r="53" spans="1:12" s="10" customFormat="1" ht="12.75" customHeight="1" x14ac:dyDescent="0.25">
      <c r="A53" s="8" t="s">
        <v>10</v>
      </c>
      <c r="B53" s="197">
        <f>'[22]TB April 04'!D22</f>
        <v>62632.34</v>
      </c>
      <c r="C53" s="197">
        <f>'[22]TB April 04'!D23</f>
        <v>125659.97</v>
      </c>
      <c r="D53" s="197">
        <f>'[22]TB April 04'!D24</f>
        <v>23432.21</v>
      </c>
      <c r="E53" s="197">
        <f>'[22]TB April 04'!D25</f>
        <v>7883.92</v>
      </c>
      <c r="F53" s="197">
        <f t="shared" si="14"/>
        <v>219608.44</v>
      </c>
      <c r="G53" s="197">
        <f t="shared" si="13"/>
        <v>1304433.2823999999</v>
      </c>
      <c r="H53" s="197">
        <f>'[22]TB April 04'!E26</f>
        <v>1304433.2823999999</v>
      </c>
      <c r="I53" s="196">
        <f t="shared" si="15"/>
        <v>219608.44</v>
      </c>
      <c r="J53" s="196">
        <f>-'[22]TB April 04'!D26</f>
        <v>-219608.44</v>
      </c>
      <c r="K53" s="201">
        <f t="shared" si="16"/>
        <v>0</v>
      </c>
      <c r="L53" s="23">
        <f t="shared" si="17"/>
        <v>0</v>
      </c>
    </row>
    <row r="54" spans="1:12" s="10" customFormat="1" ht="12.75" customHeight="1" x14ac:dyDescent="0.25">
      <c r="A54" s="8" t="s">
        <v>11</v>
      </c>
      <c r="B54" s="196">
        <f>'[22]TB April 04'!D28</f>
        <v>0</v>
      </c>
      <c r="C54" s="196">
        <f>'[22]TB April 04'!E28</f>
        <v>0</v>
      </c>
      <c r="D54" s="196">
        <v>0</v>
      </c>
      <c r="E54" s="196">
        <v>0</v>
      </c>
      <c r="F54" s="196">
        <v>0</v>
      </c>
      <c r="G54" s="197">
        <f t="shared" si="13"/>
        <v>0</v>
      </c>
      <c r="H54" s="197">
        <v>0</v>
      </c>
      <c r="I54" s="196">
        <f t="shared" si="15"/>
        <v>0</v>
      </c>
      <c r="J54" s="196">
        <f>G54</f>
        <v>0</v>
      </c>
      <c r="K54" s="201">
        <f t="shared" si="16"/>
        <v>0</v>
      </c>
      <c r="L54" s="23">
        <f t="shared" si="17"/>
        <v>0</v>
      </c>
    </row>
    <row r="55" spans="1:12" s="10" customFormat="1" ht="12.75" customHeight="1" x14ac:dyDescent="0.25">
      <c r="A55" s="8" t="s">
        <v>12</v>
      </c>
      <c r="B55" s="196">
        <f>'[22]TB April 04'!D34</f>
        <v>17572.87</v>
      </c>
      <c r="C55" s="196">
        <f>'[22]TB April 04'!D35</f>
        <v>16043.26</v>
      </c>
      <c r="D55" s="197">
        <f>'[22]TB April 04'!D36</f>
        <v>9812.7900000000009</v>
      </c>
      <c r="E55" s="196">
        <f>'[22]TB April 04'!D37</f>
        <v>-7738.14</v>
      </c>
      <c r="F55" s="197">
        <f t="shared" si="14"/>
        <v>35690.78</v>
      </c>
      <c r="G55" s="197">
        <f t="shared" si="13"/>
        <v>-992214.55000000016</v>
      </c>
      <c r="H55" s="197">
        <f>'[22]TB April 04'!E38</f>
        <v>-992214.55</v>
      </c>
      <c r="I55" s="196">
        <f t="shared" si="15"/>
        <v>35690.78</v>
      </c>
      <c r="J55" s="196">
        <f>-'[22]TB April 04'!D38</f>
        <v>-35690.78</v>
      </c>
      <c r="K55" s="201">
        <f t="shared" si="16"/>
        <v>0</v>
      </c>
      <c r="L55" s="23">
        <f t="shared" si="17"/>
        <v>0</v>
      </c>
    </row>
    <row r="56" spans="1:12" s="10" customFormat="1" ht="12.75" customHeight="1" x14ac:dyDescent="0.25">
      <c r="A56" s="8" t="s">
        <v>13</v>
      </c>
      <c r="B56" s="196">
        <f>'[22]TB April 04'!D40</f>
        <v>-167470335.63999999</v>
      </c>
      <c r="C56" s="196">
        <f>'[22]TB April 04'!D41</f>
        <v>-342109809.23000002</v>
      </c>
      <c r="D56" s="196">
        <f>'[22]TB April 04'!D42</f>
        <v>-73845666.010000005</v>
      </c>
      <c r="E56" s="196">
        <f>'[22]TB April 04'!D43</f>
        <v>-3060243.03</v>
      </c>
      <c r="F56" s="197">
        <f t="shared" si="14"/>
        <v>-586486053.90999997</v>
      </c>
      <c r="G56" s="197">
        <f t="shared" si="13"/>
        <v>-4252301321.6199999</v>
      </c>
      <c r="H56" s="197">
        <f>'[22]TB April 04'!E44</f>
        <v>-4252301321.6199999</v>
      </c>
      <c r="I56" s="196">
        <f t="shared" si="15"/>
        <v>-586486053.90999997</v>
      </c>
      <c r="J56" s="196">
        <f>-'[22]TB April 04'!D44</f>
        <v>586486053.90999997</v>
      </c>
      <c r="K56" s="201">
        <f t="shared" si="16"/>
        <v>0</v>
      </c>
      <c r="L56" s="23">
        <f t="shared" si="17"/>
        <v>0</v>
      </c>
    </row>
    <row r="57" spans="1:12" s="10" customFormat="1" ht="12.75" customHeight="1" x14ac:dyDescent="0.25">
      <c r="A57" s="8" t="s">
        <v>14</v>
      </c>
      <c r="B57" s="23">
        <f>'[22]TB April 04'!D56</f>
        <v>-3088665.57</v>
      </c>
      <c r="C57" s="196">
        <f>'[22]TB April 04'!D57</f>
        <v>-4984608.68</v>
      </c>
      <c r="D57" s="23">
        <f>'[22]TB April 04'!D58</f>
        <v>-391349.82</v>
      </c>
      <c r="E57" s="23">
        <f>'[22]TB April 04'!D59</f>
        <v>-528326.88</v>
      </c>
      <c r="F57" s="197">
        <f t="shared" si="14"/>
        <v>-8992950.9500000011</v>
      </c>
      <c r="G57" s="197">
        <f t="shared" si="13"/>
        <v>-80193168.410000011</v>
      </c>
      <c r="H57" s="197">
        <f>'[22]TB April 04'!E60</f>
        <v>-80193168.410000011</v>
      </c>
      <c r="I57" s="196">
        <f t="shared" si="15"/>
        <v>-8992950.9500000011</v>
      </c>
      <c r="J57" s="196">
        <f>-'[22]TB April 04'!D60</f>
        <v>8992950.9500000011</v>
      </c>
      <c r="K57" s="201">
        <f t="shared" si="16"/>
        <v>0</v>
      </c>
      <c r="L57" s="23">
        <f t="shared" si="17"/>
        <v>0</v>
      </c>
    </row>
    <row r="58" spans="1:12" s="10" customFormat="1" ht="12.75" customHeight="1" x14ac:dyDescent="0.25">
      <c r="A58" s="8" t="s">
        <v>15</v>
      </c>
      <c r="B58" s="23">
        <f>'[22]TB April 04'!D62</f>
        <v>2672286.79</v>
      </c>
      <c r="C58" s="196">
        <f>'[22]TB April 04'!D63</f>
        <v>147386.04999999999</v>
      </c>
      <c r="D58" s="23">
        <f>'[22]TB April 04'!D64</f>
        <v>78986.44</v>
      </c>
      <c r="E58" s="23">
        <f>'[22]TB April 04'!D65</f>
        <v>174908.97</v>
      </c>
      <c r="F58" s="197">
        <f t="shared" si="14"/>
        <v>3073568.25</v>
      </c>
      <c r="G58" s="197">
        <f t="shared" si="13"/>
        <v>40499767.530000001</v>
      </c>
      <c r="H58" s="197">
        <f>'[22]TB April 04'!E66</f>
        <v>40499767.530000001</v>
      </c>
      <c r="I58" s="196">
        <f t="shared" si="15"/>
        <v>3073568.25</v>
      </c>
      <c r="J58" s="196">
        <f>-'[22]TB April 04'!D66</f>
        <v>-3073568.25</v>
      </c>
      <c r="K58" s="201">
        <f t="shared" si="16"/>
        <v>0</v>
      </c>
      <c r="L58" s="23">
        <f t="shared" si="17"/>
        <v>0</v>
      </c>
    </row>
    <row r="59" spans="1:12" s="10" customFormat="1" ht="12.75" customHeight="1" x14ac:dyDescent="0.25">
      <c r="A59" s="8" t="s">
        <v>79</v>
      </c>
      <c r="B59" s="23">
        <f>'[22]TB April 04'!D50</f>
        <v>0</v>
      </c>
      <c r="C59" s="23">
        <f>'[22]TB April 04'!E50</f>
        <v>0</v>
      </c>
      <c r="D59" s="23">
        <v>0</v>
      </c>
      <c r="E59" s="23">
        <v>0</v>
      </c>
      <c r="F59" s="197">
        <f t="shared" si="14"/>
        <v>0</v>
      </c>
      <c r="G59" s="197">
        <v>0</v>
      </c>
      <c r="H59" s="197">
        <f>'[22]TB April 04'!E54</f>
        <v>0</v>
      </c>
      <c r="I59" s="196">
        <f>F59</f>
        <v>0</v>
      </c>
      <c r="J59" s="23">
        <f>'[22]TB April 04'!E54</f>
        <v>0</v>
      </c>
      <c r="K59" s="201">
        <f>+J59+I59</f>
        <v>0</v>
      </c>
      <c r="L59" s="23">
        <f t="shared" si="17"/>
        <v>0</v>
      </c>
    </row>
    <row r="60" spans="1:12" s="199" customFormat="1" ht="12.75" customHeight="1" thickBot="1" x14ac:dyDescent="0.3">
      <c r="A60" s="205" t="s">
        <v>16</v>
      </c>
      <c r="B60" s="206">
        <f>SUM(B47:B59)</f>
        <v>4997403195.3243704</v>
      </c>
      <c r="C60" s="206">
        <f>SUM(C47:C59)</f>
        <v>311568945.70157528</v>
      </c>
      <c r="D60" s="206">
        <f>SUM(D47:D59)</f>
        <v>76181164.556124732</v>
      </c>
      <c r="E60" s="206">
        <f>SUM(E47:E59)</f>
        <v>327299818.34742326</v>
      </c>
      <c r="F60" s="206">
        <f>SUM(F47:F59)</f>
        <v>5712453123.929493</v>
      </c>
      <c r="G60" s="208">
        <f>SUM(G51:G59)</f>
        <v>-119970343.56760016</v>
      </c>
      <c r="H60" s="208">
        <f>SUM(H51:H59)</f>
        <v>-119970343.56760016</v>
      </c>
      <c r="I60" s="195">
        <f>SUM(I51:I59)</f>
        <v>39359336.910000011</v>
      </c>
      <c r="J60" s="195">
        <f>SUM(J51:J59)</f>
        <v>-39359336.910000011</v>
      </c>
      <c r="K60" s="201">
        <f>J60+I60</f>
        <v>0</v>
      </c>
      <c r="L60" s="23"/>
    </row>
    <row r="61" spans="1:12" s="199" customFormat="1" ht="12.75" customHeight="1" thickTop="1" thickBot="1" x14ac:dyDescent="0.3">
      <c r="A61" s="205"/>
      <c r="B61" s="209"/>
      <c r="C61" s="209"/>
      <c r="D61" s="209"/>
      <c r="E61" s="209"/>
      <c r="F61" s="217"/>
      <c r="G61" s="208"/>
      <c r="H61" s="208"/>
      <c r="I61" s="198"/>
    </row>
    <row r="62" spans="1:12" s="10" customFormat="1" ht="12.75" customHeight="1" thickTop="1" x14ac:dyDescent="0.25">
      <c r="A62" s="8"/>
      <c r="B62" s="196"/>
      <c r="C62" s="196"/>
      <c r="F62" s="196"/>
      <c r="G62" s="218" t="s">
        <v>84</v>
      </c>
      <c r="H62" s="218" t="s">
        <v>84</v>
      </c>
      <c r="I62" s="198" t="s">
        <v>31</v>
      </c>
      <c r="J62" s="198" t="s">
        <v>31</v>
      </c>
      <c r="K62" s="198" t="s">
        <v>85</v>
      </c>
    </row>
    <row r="63" spans="1:12" s="10" customFormat="1" ht="12.75" customHeight="1" x14ac:dyDescent="0.25">
      <c r="A63" s="15" t="s">
        <v>20</v>
      </c>
      <c r="B63" s="212"/>
      <c r="C63" s="212"/>
      <c r="D63" s="22"/>
      <c r="E63" s="22"/>
      <c r="F63" s="212"/>
      <c r="G63" s="218" t="s">
        <v>44</v>
      </c>
      <c r="H63" s="219" t="s">
        <v>45</v>
      </c>
      <c r="I63" s="198" t="s">
        <v>44</v>
      </c>
      <c r="J63" s="199" t="s">
        <v>45</v>
      </c>
      <c r="K63" s="34"/>
    </row>
    <row r="64" spans="1:12" s="10" customFormat="1" ht="12.75" customHeight="1" x14ac:dyDescent="0.25">
      <c r="A64" s="8" t="s">
        <v>8</v>
      </c>
      <c r="B64" s="197">
        <f>'[22]TB May 09'!D9</f>
        <v>177788142.06</v>
      </c>
      <c r="C64" s="197">
        <f>'[22]TB May 09'!D10</f>
        <v>357312204.86000001</v>
      </c>
      <c r="D64" s="197">
        <f>'[22]TB May 09'!D11</f>
        <v>66589278.5</v>
      </c>
      <c r="E64" s="197">
        <f>'[22]TB May 09'!D12</f>
        <v>22462792.260000002</v>
      </c>
      <c r="F64" s="197">
        <f>SUM(B64:E64)</f>
        <v>624152417.68000007</v>
      </c>
      <c r="G64" s="197">
        <f t="shared" ref="G64:G72" si="18">F64+G51</f>
        <v>4793362756.2399998</v>
      </c>
      <c r="H64" s="197">
        <f>'[22]TB May 09'!E14</f>
        <v>4793362756.2399998</v>
      </c>
      <c r="I64" s="196">
        <f>F64</f>
        <v>624152417.68000007</v>
      </c>
      <c r="J64" s="23">
        <f>-'[22]TB May 09'!D14</f>
        <v>-624152417.68000007</v>
      </c>
      <c r="K64" s="201">
        <f>+J64+I64</f>
        <v>0</v>
      </c>
      <c r="L64" s="23">
        <f>+G64-H64</f>
        <v>0</v>
      </c>
    </row>
    <row r="65" spans="1:12" s="10" customFormat="1" ht="12.75" customHeight="1" x14ac:dyDescent="0.25">
      <c r="A65" s="8" t="s">
        <v>9</v>
      </c>
      <c r="B65" s="197">
        <f>'[22]TB May 09'!D16</f>
        <v>-183546.5</v>
      </c>
      <c r="C65" s="197">
        <f>'[22]TB May 09'!D17</f>
        <v>-368106.55</v>
      </c>
      <c r="D65" s="197">
        <f>'[22]TB May 09'!D18</f>
        <v>-68647.100000000006</v>
      </c>
      <c r="E65" s="197">
        <f>'[22]TB May 09'!D19</f>
        <v>-23098.55</v>
      </c>
      <c r="F65" s="197">
        <f t="shared" ref="F65:F73" si="19">SUM(B65:E65)</f>
        <v>-643398.70000000007</v>
      </c>
      <c r="G65" s="197">
        <f t="shared" si="18"/>
        <v>1858422.9399999995</v>
      </c>
      <c r="H65" s="197">
        <f>'[22]TB May 09'!E20</f>
        <v>1858422.94</v>
      </c>
      <c r="I65" s="196">
        <f t="shared" ref="I65:I71" si="20">F65</f>
        <v>-643398.70000000007</v>
      </c>
      <c r="J65" s="196">
        <f>-'[22]TB May 09'!D20</f>
        <v>643398.70000000007</v>
      </c>
      <c r="K65" s="201">
        <f t="shared" ref="K65:K71" si="21">+J65+I65</f>
        <v>0</v>
      </c>
      <c r="L65" s="23">
        <f t="shared" ref="L65:L72" si="22">+G65-H65</f>
        <v>0</v>
      </c>
    </row>
    <row r="66" spans="1:12" s="10" customFormat="1" ht="12.75" customHeight="1" x14ac:dyDescent="0.25">
      <c r="A66" s="8" t="s">
        <v>10</v>
      </c>
      <c r="B66" s="197">
        <f>'[22]TB May 09'!D22</f>
        <v>32191.33</v>
      </c>
      <c r="C66" s="197">
        <f>'[22]TB May 09'!D23</f>
        <v>64585.84</v>
      </c>
      <c r="D66" s="197">
        <f>'[22]TB May 09'!D24</f>
        <v>12043.53</v>
      </c>
      <c r="E66" s="197">
        <f>'[22]TB May 09'!D25</f>
        <v>4052.2</v>
      </c>
      <c r="F66" s="197">
        <f t="shared" si="19"/>
        <v>112872.9</v>
      </c>
      <c r="G66" s="197">
        <f t="shared" si="18"/>
        <v>1417306.1823999998</v>
      </c>
      <c r="H66" s="197">
        <f>'[22]TB May 09'!E26</f>
        <v>1417306.1824</v>
      </c>
      <c r="I66" s="196">
        <f t="shared" si="20"/>
        <v>112872.9</v>
      </c>
      <c r="J66" s="196">
        <f>-'[22]TB May 09'!D26</f>
        <v>-112872.9</v>
      </c>
      <c r="K66" s="201">
        <f t="shared" si="21"/>
        <v>0</v>
      </c>
      <c r="L66" s="23">
        <f t="shared" si="22"/>
        <v>0</v>
      </c>
    </row>
    <row r="67" spans="1:12" s="10" customFormat="1" ht="12.75" customHeight="1" x14ac:dyDescent="0.25">
      <c r="A67" s="8" t="s">
        <v>11</v>
      </c>
      <c r="B67" s="196">
        <f>'[22]TB May 09'!D28</f>
        <v>0</v>
      </c>
      <c r="C67" s="196">
        <f>'[22]TB May 09'!D29</f>
        <v>0</v>
      </c>
      <c r="D67" s="196">
        <f>'[22]TB May 09'!D30</f>
        <v>0</v>
      </c>
      <c r="E67" s="196">
        <f>'[22]TB May 09'!D31</f>
        <v>0</v>
      </c>
      <c r="F67" s="197">
        <f t="shared" si="19"/>
        <v>0</v>
      </c>
      <c r="G67" s="197">
        <f t="shared" si="18"/>
        <v>0</v>
      </c>
      <c r="H67" s="197">
        <f>'[22]TB May 09'!D32</f>
        <v>0</v>
      </c>
      <c r="I67" s="196">
        <f t="shared" si="20"/>
        <v>0</v>
      </c>
      <c r="J67" s="196">
        <f>G67</f>
        <v>0</v>
      </c>
      <c r="K67" s="201">
        <f t="shared" si="21"/>
        <v>0</v>
      </c>
      <c r="L67" s="23">
        <f t="shared" si="22"/>
        <v>0</v>
      </c>
    </row>
    <row r="68" spans="1:12" s="10" customFormat="1" ht="12.75" customHeight="1" x14ac:dyDescent="0.25">
      <c r="A68" s="8" t="s">
        <v>12</v>
      </c>
      <c r="B68" s="196">
        <f>'[22]TB May 09'!D34</f>
        <v>10449108.43</v>
      </c>
      <c r="C68" s="196">
        <f>'[22]TB May 09'!D35</f>
        <v>159118.46</v>
      </c>
      <c r="D68" s="196">
        <f>'[22]TB May 09'!D36</f>
        <v>30715.599999999999</v>
      </c>
      <c r="E68" s="196">
        <f>'[22]TB May 09'!D37</f>
        <v>10321.030000000001</v>
      </c>
      <c r="F68" s="197">
        <f t="shared" si="19"/>
        <v>10649263.52</v>
      </c>
      <c r="G68" s="197">
        <f t="shared" si="18"/>
        <v>9657048.9699999988</v>
      </c>
      <c r="H68" s="197">
        <f>'[22]TB May 09'!E38</f>
        <v>9657048.9700000007</v>
      </c>
      <c r="I68" s="196">
        <f t="shared" si="20"/>
        <v>10649263.52</v>
      </c>
      <c r="J68" s="196">
        <f>-'[22]TB May 09'!D38</f>
        <v>-10649263.52</v>
      </c>
      <c r="K68" s="201">
        <f t="shared" si="21"/>
        <v>0</v>
      </c>
      <c r="L68" s="23">
        <f t="shared" si="22"/>
        <v>0</v>
      </c>
    </row>
    <row r="69" spans="1:12" s="10" customFormat="1" ht="12.75" customHeight="1" x14ac:dyDescent="0.25">
      <c r="A69" s="8" t="s">
        <v>13</v>
      </c>
      <c r="B69" s="196">
        <f>'[22]TB May 09'!D40</f>
        <v>-147874674.19</v>
      </c>
      <c r="C69" s="196">
        <f>'[22]TB May 09'!D41</f>
        <v>-281613958</v>
      </c>
      <c r="D69" s="196">
        <f>'[22]TB May 09'!D42</f>
        <v>-76999779</v>
      </c>
      <c r="E69" s="196">
        <f>'[22]TB May 09'!D43</f>
        <v>-2295710.71</v>
      </c>
      <c r="F69" s="197">
        <f t="shared" si="19"/>
        <v>-508784121.89999998</v>
      </c>
      <c r="G69" s="197">
        <f t="shared" si="18"/>
        <v>-4761085443.5199995</v>
      </c>
      <c r="H69" s="197">
        <f>'[22]TB May 09'!E44</f>
        <v>-4761085443.5200005</v>
      </c>
      <c r="I69" s="196">
        <f t="shared" si="20"/>
        <v>-508784121.89999998</v>
      </c>
      <c r="J69" s="196">
        <f>-'[22]TB May 09'!D44</f>
        <v>508784121.89999998</v>
      </c>
      <c r="K69" s="201">
        <f t="shared" si="21"/>
        <v>0</v>
      </c>
      <c r="L69" s="23">
        <f t="shared" si="22"/>
        <v>0</v>
      </c>
    </row>
    <row r="70" spans="1:12" s="10" customFormat="1" ht="12.75" customHeight="1" x14ac:dyDescent="0.25">
      <c r="A70" s="8" t="s">
        <v>14</v>
      </c>
      <c r="B70" s="23">
        <f>'[22]TB May 09'!D56</f>
        <v>-36044845.75</v>
      </c>
      <c r="C70" s="23">
        <f>'[22]TB May 09'!D57</f>
        <v>-10629250.310000001</v>
      </c>
      <c r="D70" s="23">
        <f>'[22]TB May 09'!D58</f>
        <v>-476028.64</v>
      </c>
      <c r="E70" s="23">
        <f>'[22]TB May 09'!D59</f>
        <v>-831798.02</v>
      </c>
      <c r="F70" s="197">
        <f t="shared" si="19"/>
        <v>-47981922.720000006</v>
      </c>
      <c r="G70" s="197">
        <f t="shared" si="18"/>
        <v>-128175091.13000003</v>
      </c>
      <c r="H70" s="197">
        <f>'[22]TB May 09'!E60</f>
        <v>-128175091.13</v>
      </c>
      <c r="I70" s="196">
        <f t="shared" si="20"/>
        <v>-47981922.720000006</v>
      </c>
      <c r="J70" s="196">
        <f>-'[22]TB May 09'!D60</f>
        <v>47981922.720000006</v>
      </c>
      <c r="K70" s="201">
        <f t="shared" si="21"/>
        <v>0</v>
      </c>
      <c r="L70" s="23">
        <f t="shared" si="22"/>
        <v>0</v>
      </c>
    </row>
    <row r="71" spans="1:12" s="10" customFormat="1" ht="12.75" customHeight="1" x14ac:dyDescent="0.25">
      <c r="A71" s="8" t="s">
        <v>15</v>
      </c>
      <c r="B71" s="23">
        <f>'[22]TB May 09'!D62</f>
        <v>2381537.6</v>
      </c>
      <c r="C71" s="23">
        <f>'[22]TB May 09'!D63</f>
        <v>143151.6</v>
      </c>
      <c r="D71" s="23">
        <f>'[22]TB May 09'!D64</f>
        <v>63751.63</v>
      </c>
      <c r="E71" s="23">
        <f>'[22]TB May 09'!D65</f>
        <v>160459</v>
      </c>
      <c r="F71" s="197">
        <f t="shared" si="19"/>
        <v>2748899.83</v>
      </c>
      <c r="G71" s="197">
        <f t="shared" si="18"/>
        <v>43248667.359999999</v>
      </c>
      <c r="H71" s="197">
        <f>'[22]TB May 09'!E66</f>
        <v>43248667.360000007</v>
      </c>
      <c r="I71" s="196">
        <f t="shared" si="20"/>
        <v>2748899.83</v>
      </c>
      <c r="J71" s="196">
        <f>-'[22]TB May 09'!D66</f>
        <v>-2748899.83</v>
      </c>
      <c r="K71" s="201">
        <f t="shared" si="21"/>
        <v>0</v>
      </c>
      <c r="L71" s="23">
        <f t="shared" si="22"/>
        <v>0</v>
      </c>
    </row>
    <row r="72" spans="1:12" s="10" customFormat="1" ht="12.75" customHeight="1" x14ac:dyDescent="0.25">
      <c r="A72" s="8" t="s">
        <v>79</v>
      </c>
      <c r="B72" s="23">
        <f>'[22]TB May 09'!D50</f>
        <v>0</v>
      </c>
      <c r="C72" s="23">
        <f>'[22]TB May 09'!D51</f>
        <v>0</v>
      </c>
      <c r="D72" s="23">
        <f>'[22]TB May 09'!D52</f>
        <v>0</v>
      </c>
      <c r="E72" s="23">
        <f>'[22]TB May 09'!D53</f>
        <v>0</v>
      </c>
      <c r="F72" s="197">
        <f t="shared" si="19"/>
        <v>0</v>
      </c>
      <c r="G72" s="197">
        <f t="shared" si="18"/>
        <v>0</v>
      </c>
      <c r="H72" s="197">
        <f>'[22]TB May 09'!D54</f>
        <v>0</v>
      </c>
      <c r="I72" s="23">
        <f>F72</f>
        <v>0</v>
      </c>
      <c r="J72" s="65">
        <f>'[22]TB May 09'!E54</f>
        <v>0</v>
      </c>
      <c r="K72" s="201">
        <f>J72-I72</f>
        <v>0</v>
      </c>
      <c r="L72" s="23">
        <f t="shared" si="22"/>
        <v>0</v>
      </c>
    </row>
    <row r="73" spans="1:12" s="199" customFormat="1" ht="12.75" customHeight="1" thickBot="1" x14ac:dyDescent="0.3">
      <c r="A73" s="205" t="s">
        <v>16</v>
      </c>
      <c r="B73" s="206">
        <f>SUM(B60:B72)</f>
        <v>5003951108.3043718</v>
      </c>
      <c r="C73" s="206">
        <f>SUM(C60:C72)</f>
        <v>376636691.60157543</v>
      </c>
      <c r="D73" s="206">
        <f>SUM(D60:D72)</f>
        <v>65332499.07612475</v>
      </c>
      <c r="E73" s="206">
        <f>SUM(E60:E72)</f>
        <v>346786835.55742323</v>
      </c>
      <c r="F73" s="206">
        <f t="shared" si="19"/>
        <v>5792707134.5394964</v>
      </c>
      <c r="G73" s="217">
        <f>SUM(G64:G72)</f>
        <v>-39716332.957600161</v>
      </c>
      <c r="H73" s="217">
        <f>SUM(H64:H72)</f>
        <v>-39716332.957601078</v>
      </c>
      <c r="I73" s="217">
        <f>SUM(I64:I72)</f>
        <v>80254010.609999999</v>
      </c>
      <c r="J73" s="217">
        <f>-SUM(J64:J72)</f>
        <v>80254010.609999999</v>
      </c>
      <c r="K73" s="201">
        <f>J73-I73</f>
        <v>0</v>
      </c>
      <c r="L73" s="23"/>
    </row>
    <row r="74" spans="1:12" s="199" customFormat="1" ht="12.75" customHeight="1" thickTop="1" x14ac:dyDescent="0.25">
      <c r="A74" s="205"/>
      <c r="B74" s="209"/>
      <c r="C74" s="209"/>
      <c r="D74" s="209"/>
      <c r="E74" s="209"/>
      <c r="F74" s="195"/>
      <c r="G74" s="195"/>
      <c r="H74" s="195"/>
      <c r="I74" s="195"/>
      <c r="J74" s="214"/>
      <c r="K74" s="34"/>
    </row>
    <row r="75" spans="1:12" s="10" customFormat="1" ht="12.75" customHeight="1" x14ac:dyDescent="0.25">
      <c r="A75" s="8"/>
      <c r="F75" s="196"/>
      <c r="G75" s="218" t="s">
        <v>84</v>
      </c>
      <c r="H75" s="218" t="s">
        <v>84</v>
      </c>
      <c r="I75" s="198" t="s">
        <v>31</v>
      </c>
      <c r="J75" s="198" t="s">
        <v>31</v>
      </c>
      <c r="K75" s="198" t="s">
        <v>85</v>
      </c>
    </row>
    <row r="76" spans="1:12" s="10" customFormat="1" ht="12.75" customHeight="1" x14ac:dyDescent="0.25">
      <c r="A76" s="15" t="s">
        <v>21</v>
      </c>
      <c r="B76" s="22"/>
      <c r="C76" s="22"/>
      <c r="D76" s="22"/>
      <c r="E76" s="22"/>
      <c r="F76" s="212"/>
      <c r="G76" s="218" t="s">
        <v>44</v>
      </c>
      <c r="H76" s="219" t="s">
        <v>45</v>
      </c>
      <c r="I76" s="198" t="s">
        <v>44</v>
      </c>
      <c r="J76" s="199" t="s">
        <v>45</v>
      </c>
    </row>
    <row r="77" spans="1:12" s="10" customFormat="1" ht="12.75" customHeight="1" x14ac:dyDescent="0.25">
      <c r="A77" s="8" t="s">
        <v>8</v>
      </c>
      <c r="B77" s="197">
        <f>'[22]TB June 09'!D9</f>
        <v>181165987.53</v>
      </c>
      <c r="C77" s="197">
        <f>'[22]TB June 09'!D10</f>
        <v>363444705.12</v>
      </c>
      <c r="D77" s="197">
        <f>'[22]TB June 09'!D11</f>
        <v>67787859.980000004</v>
      </c>
      <c r="E77" s="197">
        <f>'[22]TB June 09'!D12</f>
        <v>22782635.739999998</v>
      </c>
      <c r="F77" s="197">
        <f>SUM(B77:E77)</f>
        <v>635181188.37</v>
      </c>
      <c r="G77" s="197">
        <f>G64+F77</f>
        <v>5428543944.6099997</v>
      </c>
      <c r="H77" s="197">
        <f>'[22]TB June 09'!E14</f>
        <v>5428543944.6099997</v>
      </c>
      <c r="I77" s="196">
        <f>F77</f>
        <v>635181188.37</v>
      </c>
      <c r="J77" s="23">
        <f>-'[22]TB June 09'!D14</f>
        <v>-635181188.37</v>
      </c>
      <c r="K77" s="201">
        <f>+J77+I77</f>
        <v>0</v>
      </c>
      <c r="L77" s="23">
        <f>+G77-H77</f>
        <v>0</v>
      </c>
    </row>
    <row r="78" spans="1:12" s="10" customFormat="1" ht="12.75" customHeight="1" x14ac:dyDescent="0.25">
      <c r="A78" s="8" t="s">
        <v>9</v>
      </c>
      <c r="B78" s="196">
        <f>'[22]TB June 09'!D16</f>
        <v>114160.23</v>
      </c>
      <c r="C78" s="196">
        <f>'[22]TB June 09'!D17</f>
        <v>229029.06</v>
      </c>
      <c r="D78" s="196">
        <f>'[22]TB June 09'!D18</f>
        <v>42751.22</v>
      </c>
      <c r="E78" s="196">
        <f>'[22]TB June 09'!D19</f>
        <v>14335.6</v>
      </c>
      <c r="F78" s="197">
        <f t="shared" ref="F78:F85" si="23">SUM(B78:E78)</f>
        <v>400276.11</v>
      </c>
      <c r="G78" s="197">
        <f t="shared" ref="G78:G85" si="24">G65+F78</f>
        <v>2258699.0499999993</v>
      </c>
      <c r="H78" s="65">
        <f>'[22]TB June 09'!E20</f>
        <v>2258699.0500000003</v>
      </c>
      <c r="I78" s="196">
        <f t="shared" ref="I78:I84" si="25">F78</f>
        <v>400276.11</v>
      </c>
      <c r="J78" s="196">
        <f>-'[22]TB June 09'!D20</f>
        <v>-400276.11</v>
      </c>
      <c r="K78" s="201">
        <f t="shared" ref="K78:K84" si="26">+J78+I78</f>
        <v>0</v>
      </c>
      <c r="L78" s="23">
        <f t="shared" ref="L78:L85" si="27">+G78-H78</f>
        <v>0</v>
      </c>
    </row>
    <row r="79" spans="1:12" s="10" customFormat="1" ht="12.75" customHeight="1" x14ac:dyDescent="0.25">
      <c r="A79" s="8" t="s">
        <v>10</v>
      </c>
      <c r="B79" s="196">
        <f>'[22]TB June 09'!D22</f>
        <v>27424.11</v>
      </c>
      <c r="C79" s="196">
        <f>'[22]TB June 09'!D23</f>
        <v>55021.3</v>
      </c>
      <c r="D79" s="196">
        <f>'[22]TB June 09'!D24</f>
        <v>10259.99</v>
      </c>
      <c r="E79" s="196">
        <f>'[22]TB June 09'!D25</f>
        <v>3452.01</v>
      </c>
      <c r="F79" s="197">
        <f t="shared" si="23"/>
        <v>96157.41</v>
      </c>
      <c r="G79" s="197">
        <f t="shared" si="24"/>
        <v>1513463.5923999997</v>
      </c>
      <c r="H79" s="197">
        <f>'[22]TB June 09'!E26</f>
        <v>1513463.5924</v>
      </c>
      <c r="I79" s="196">
        <f t="shared" si="25"/>
        <v>96157.41</v>
      </c>
      <c r="J79" s="196">
        <f>-'[22]TB June 09'!D26</f>
        <v>-96157.41</v>
      </c>
      <c r="K79" s="201">
        <f t="shared" si="26"/>
        <v>0</v>
      </c>
      <c r="L79" s="23">
        <f t="shared" si="27"/>
        <v>0</v>
      </c>
    </row>
    <row r="80" spans="1:12" s="10" customFormat="1" ht="12.75" customHeight="1" x14ac:dyDescent="0.25">
      <c r="A80" s="8" t="s">
        <v>11</v>
      </c>
      <c r="B80" s="196">
        <f>'[22]TB June 09'!D28</f>
        <v>0</v>
      </c>
      <c r="C80" s="196">
        <f>'[22]TB June 09'!E28</f>
        <v>0</v>
      </c>
      <c r="D80" s="196">
        <v>0</v>
      </c>
      <c r="E80" s="196">
        <v>0</v>
      </c>
      <c r="F80" s="197">
        <f t="shared" si="23"/>
        <v>0</v>
      </c>
      <c r="G80" s="197">
        <f t="shared" si="24"/>
        <v>0</v>
      </c>
      <c r="H80" s="197">
        <f>'[22]TB June 09'!E32</f>
        <v>0</v>
      </c>
      <c r="I80" s="196">
        <f t="shared" si="25"/>
        <v>0</v>
      </c>
      <c r="J80" s="196">
        <f>'[22]TB June 09'!D32</f>
        <v>0</v>
      </c>
      <c r="K80" s="201">
        <f t="shared" si="26"/>
        <v>0</v>
      </c>
      <c r="L80" s="23">
        <f t="shared" si="27"/>
        <v>0</v>
      </c>
    </row>
    <row r="81" spans="1:12" s="10" customFormat="1" ht="12.75" customHeight="1" x14ac:dyDescent="0.25">
      <c r="A81" s="8" t="s">
        <v>12</v>
      </c>
      <c r="B81" s="196">
        <f>'[22]TB June 7-13-09'!D34</f>
        <v>-721635.83999999997</v>
      </c>
      <c r="C81" s="196">
        <f>'[22]TB June 7-13-09'!D35</f>
        <v>-1008193.36</v>
      </c>
      <c r="D81" s="196">
        <f>'[22]TB June 7-13-09'!D36</f>
        <v>-181939.72</v>
      </c>
      <c r="E81" s="196">
        <f>'[22]TB June 7-13-09'!D37</f>
        <v>-63334.33</v>
      </c>
      <c r="F81" s="197">
        <f t="shared" si="23"/>
        <v>-1975103.25</v>
      </c>
      <c r="G81" s="197">
        <f t="shared" si="24"/>
        <v>7681945.7199999988</v>
      </c>
      <c r="H81" s="197">
        <f>'[22]TB June 7-13-09'!E38</f>
        <v>7681945.7199999997</v>
      </c>
      <c r="I81" s="196">
        <f t="shared" si="25"/>
        <v>-1975103.25</v>
      </c>
      <c r="J81" s="196">
        <f>-'[22]TB June 7-14-2009'!D38</f>
        <v>1975103.25</v>
      </c>
      <c r="K81" s="201">
        <f t="shared" si="26"/>
        <v>0</v>
      </c>
      <c r="L81" s="23">
        <f t="shared" si="27"/>
        <v>0</v>
      </c>
    </row>
    <row r="82" spans="1:12" s="10" customFormat="1" ht="12.75" customHeight="1" x14ac:dyDescent="0.25">
      <c r="A82" s="8" t="s">
        <v>13</v>
      </c>
      <c r="B82" s="196">
        <f>'[22]TB June 7-14-2009'!D40</f>
        <v>-128922160.66</v>
      </c>
      <c r="C82" s="196">
        <f>'[22]TB June 09'!D41</f>
        <v>-339487834.27999997</v>
      </c>
      <c r="D82" s="196">
        <f>'[22]TB June 09'!D42</f>
        <v>-82273392.430000007</v>
      </c>
      <c r="E82" s="196">
        <f>'[22]TB June 7-14-2009'!D43</f>
        <v>-7645108.7400000002</v>
      </c>
      <c r="F82" s="197">
        <f t="shared" si="23"/>
        <v>-558328496.1099999</v>
      </c>
      <c r="G82" s="197">
        <f t="shared" si="24"/>
        <v>-5319413939.6299992</v>
      </c>
      <c r="H82" s="197">
        <f>'[22]TB June 7-14-2009'!E44</f>
        <v>-5319413939.6300001</v>
      </c>
      <c r="I82" s="196">
        <f t="shared" si="25"/>
        <v>-558328496.1099999</v>
      </c>
      <c r="J82" s="196">
        <f>-'[22]TB June 7-14-2009'!D44</f>
        <v>558328496.1099999</v>
      </c>
      <c r="K82" s="201">
        <f t="shared" si="26"/>
        <v>0</v>
      </c>
      <c r="L82" s="23">
        <f t="shared" si="27"/>
        <v>0</v>
      </c>
    </row>
    <row r="83" spans="1:12" s="10" customFormat="1" ht="12.75" customHeight="1" x14ac:dyDescent="0.25">
      <c r="A83" s="8" t="s">
        <v>14</v>
      </c>
      <c r="B83" s="23">
        <f>'[22]TB June 09'!D56</f>
        <v>-19168935.77</v>
      </c>
      <c r="C83" s="23">
        <f>'[22]TB June 09'!D57</f>
        <v>-7409152</v>
      </c>
      <c r="D83" s="23">
        <f>'[22]TB June 09'!D58</f>
        <v>-380787.23</v>
      </c>
      <c r="E83" s="23">
        <f>'[22]TB June 09'!D59</f>
        <v>-648022.44999999995</v>
      </c>
      <c r="F83" s="197">
        <f t="shared" si="23"/>
        <v>-27606897.449999999</v>
      </c>
      <c r="G83" s="197">
        <f t="shared" si="24"/>
        <v>-155781988.58000001</v>
      </c>
      <c r="H83" s="197">
        <f>'[22]TB June 09'!E60</f>
        <v>-155781988.57999998</v>
      </c>
      <c r="I83" s="196">
        <f t="shared" si="25"/>
        <v>-27606897.449999999</v>
      </c>
      <c r="J83" s="196">
        <f>-'[22]TB June 09'!D60</f>
        <v>27606897.449999999</v>
      </c>
      <c r="K83" s="201">
        <f t="shared" si="26"/>
        <v>0</v>
      </c>
      <c r="L83" s="23">
        <f t="shared" si="27"/>
        <v>0</v>
      </c>
    </row>
    <row r="84" spans="1:12" s="10" customFormat="1" ht="12.75" customHeight="1" x14ac:dyDescent="0.25">
      <c r="A84" s="8" t="s">
        <v>15</v>
      </c>
      <c r="B84" s="23">
        <f>'[22]TB June 09'!D62</f>
        <v>2106081.13</v>
      </c>
      <c r="C84" s="23">
        <f>'[22]TB June 09'!D63</f>
        <v>126054.72</v>
      </c>
      <c r="D84" s="23">
        <f>'[22]TB June 09'!D64</f>
        <v>45556.84</v>
      </c>
      <c r="E84" s="23">
        <f>'[22]TB June 09'!D65</f>
        <v>149259.57</v>
      </c>
      <c r="F84" s="197">
        <f t="shared" si="23"/>
        <v>2426952.2599999998</v>
      </c>
      <c r="G84" s="197">
        <f t="shared" si="24"/>
        <v>45675619.619999997</v>
      </c>
      <c r="H84" s="197">
        <f>'[22]TB June 09'!E66</f>
        <v>45675619.620000005</v>
      </c>
      <c r="I84" s="196">
        <f t="shared" si="25"/>
        <v>2426952.2599999998</v>
      </c>
      <c r="J84" s="196">
        <f>-'[22]TB June 09'!D66</f>
        <v>-2426952.2599999998</v>
      </c>
      <c r="K84" s="201">
        <f t="shared" si="26"/>
        <v>0</v>
      </c>
      <c r="L84" s="23">
        <f t="shared" si="27"/>
        <v>0</v>
      </c>
    </row>
    <row r="85" spans="1:12" s="10" customFormat="1" ht="12.75" customHeight="1" x14ac:dyDescent="0.25">
      <c r="A85" s="8" t="s">
        <v>79</v>
      </c>
      <c r="B85" s="23">
        <f>'[22]TB June 09'!D50</f>
        <v>0</v>
      </c>
      <c r="C85" s="23">
        <f>'[22]TB June 09'!E50</f>
        <v>0</v>
      </c>
      <c r="D85" s="23">
        <v>0</v>
      </c>
      <c r="E85" s="23">
        <v>0</v>
      </c>
      <c r="F85" s="197">
        <f t="shared" si="23"/>
        <v>0</v>
      </c>
      <c r="G85" s="197">
        <f t="shared" si="24"/>
        <v>0</v>
      </c>
      <c r="H85" s="197">
        <f>'[22]TB June 09'!E54</f>
        <v>0</v>
      </c>
      <c r="I85" s="23">
        <f>F85</f>
        <v>0</v>
      </c>
      <c r="J85" s="34">
        <f>'[22]TB June 09'!D54</f>
        <v>0</v>
      </c>
      <c r="K85" s="201">
        <f>J85-I85</f>
        <v>0</v>
      </c>
      <c r="L85" s="23">
        <f t="shared" si="27"/>
        <v>0</v>
      </c>
    </row>
    <row r="86" spans="1:12" s="199" customFormat="1" ht="12.75" customHeight="1" thickBot="1" x14ac:dyDescent="0.3">
      <c r="A86" s="205" t="s">
        <v>16</v>
      </c>
      <c r="B86" s="206">
        <f>B73+B77+B78+B79+B80+B81+B82+B83+B84+B85</f>
        <v>5038552029.0343704</v>
      </c>
      <c r="C86" s="206">
        <f>C73+C77+C78+C79+C80+C81+C82+C83+C84+C85</f>
        <v>392586322.16157544</v>
      </c>
      <c r="D86" s="206">
        <f>D73+D77+D78+D79+D80+D81+D82+D83+D84+D85</f>
        <v>50382807.726124741</v>
      </c>
      <c r="E86" s="206">
        <f>E73+E77+E78+E79+E80+E81+E82+E83+E84+E85</f>
        <v>361380052.95742327</v>
      </c>
      <c r="F86" s="206">
        <f>F73+F77+F78+F79+F80+F81+F82+F83+F84+F85</f>
        <v>5842901211.8794966</v>
      </c>
      <c r="G86" s="220">
        <f>G77+G78+G79+G80+G81+G82+G83+G84+G85</f>
        <v>10477744.382400535</v>
      </c>
      <c r="H86" s="220">
        <f>H77+H78+H79+H80+H81+H82+H83+H84+H85</f>
        <v>10477744.382399619</v>
      </c>
      <c r="I86" s="220">
        <f>I77+I78+I79+I80+I81+I82+I83+I84+I85</f>
        <v>50194077.340000086</v>
      </c>
      <c r="J86" s="220">
        <f>J77+J78+J79+J80+J81+J82+J83+J84+J85</f>
        <v>-50194077.340000086</v>
      </c>
      <c r="K86" s="206">
        <f>K73+K77+K78+K79+K80+K81+K82+K83+K84+K85</f>
        <v>0</v>
      </c>
      <c r="L86" s="23"/>
    </row>
    <row r="87" spans="1:12" s="199" customFormat="1" ht="12.75" customHeight="1" thickTop="1" x14ac:dyDescent="0.25">
      <c r="A87" s="205"/>
      <c r="B87" s="209"/>
      <c r="C87" s="209"/>
      <c r="D87" s="209"/>
      <c r="E87" s="209"/>
      <c r="F87" s="209"/>
      <c r="G87" s="198"/>
      <c r="I87" s="209"/>
    </row>
    <row r="88" spans="1:12" s="10" customFormat="1" ht="12.75" customHeight="1" x14ac:dyDescent="0.25">
      <c r="A88" s="8"/>
      <c r="B88" s="196"/>
      <c r="C88" s="196"/>
      <c r="F88" s="196"/>
      <c r="G88" s="198" t="s">
        <v>32</v>
      </c>
      <c r="H88" s="198" t="s">
        <v>32</v>
      </c>
      <c r="I88" s="198" t="s">
        <v>31</v>
      </c>
      <c r="J88" s="198" t="s">
        <v>31</v>
      </c>
      <c r="K88" s="198" t="s">
        <v>85</v>
      </c>
    </row>
    <row r="89" spans="1:12" s="10" customFormat="1" ht="12.75" customHeight="1" x14ac:dyDescent="0.25">
      <c r="A89" s="15" t="s">
        <v>22</v>
      </c>
      <c r="B89" s="212"/>
      <c r="C89" s="212"/>
      <c r="D89" s="22"/>
      <c r="E89" s="22"/>
      <c r="F89" s="212"/>
      <c r="G89" s="198" t="s">
        <v>44</v>
      </c>
      <c r="H89" s="199" t="s">
        <v>45</v>
      </c>
      <c r="I89" s="198" t="s">
        <v>44</v>
      </c>
      <c r="J89" s="199" t="s">
        <v>45</v>
      </c>
    </row>
    <row r="90" spans="1:12" s="10" customFormat="1" ht="12.75" customHeight="1" x14ac:dyDescent="0.25">
      <c r="A90" s="8" t="s">
        <v>8</v>
      </c>
      <c r="B90" s="197">
        <f>[23]Report!D9</f>
        <v>174076882.43000001</v>
      </c>
      <c r="C90" s="197">
        <f>[23]Report!$D$10</f>
        <v>366372280.5</v>
      </c>
      <c r="D90" s="197">
        <f>[23]Report!$D$11</f>
        <v>74159780.200000003</v>
      </c>
      <c r="E90" s="197">
        <f>[23]Report!$D$12</f>
        <v>18019433.899999999</v>
      </c>
      <c r="F90" s="197">
        <f t="shared" ref="F90:F98" si="28">SUM(B90:E90)</f>
        <v>632628377.03000009</v>
      </c>
      <c r="G90" s="197">
        <f>G77+F90</f>
        <v>6061172321.6399994</v>
      </c>
      <c r="H90" s="197">
        <f>[23]Report!$E$14</f>
        <v>6061172321.6400003</v>
      </c>
      <c r="I90" s="196">
        <f>F90</f>
        <v>632628377.03000009</v>
      </c>
      <c r="J90" s="23">
        <f>-[23]Report!$D$14</f>
        <v>-632628377.03000009</v>
      </c>
      <c r="K90" s="201">
        <f>+J90+I90</f>
        <v>0</v>
      </c>
      <c r="L90" s="23">
        <f>+G90-H90</f>
        <v>0</v>
      </c>
    </row>
    <row r="91" spans="1:12" s="10" customFormat="1" ht="12.75" customHeight="1" x14ac:dyDescent="0.25">
      <c r="A91" s="8" t="s">
        <v>9</v>
      </c>
      <c r="B91" s="200">
        <f>[23]Report!$D$16</f>
        <v>94002.3</v>
      </c>
      <c r="C91" s="200">
        <f>[23]Report!$D$17</f>
        <v>197751.38</v>
      </c>
      <c r="D91" s="200">
        <f>[23]Report!$D$18</f>
        <v>40046.629999999997</v>
      </c>
      <c r="E91" s="200">
        <f>[23]Report!$D$19</f>
        <v>9735.75</v>
      </c>
      <c r="F91" s="197">
        <f t="shared" si="28"/>
        <v>341536.06</v>
      </c>
      <c r="G91" s="197">
        <f t="shared" ref="G91:G98" si="29">G78+F91</f>
        <v>2600235.1099999994</v>
      </c>
      <c r="H91" s="65">
        <f>[23]Report!$E$20</f>
        <v>2600235.11</v>
      </c>
      <c r="I91" s="196">
        <f t="shared" ref="I91:I97" si="30">F91</f>
        <v>341536.06</v>
      </c>
      <c r="J91" s="196">
        <f>-[23]Report!$D$20</f>
        <v>-341536.06</v>
      </c>
      <c r="K91" s="201">
        <f t="shared" ref="K91:K97" si="31">+J91+I91</f>
        <v>0</v>
      </c>
      <c r="L91" s="23">
        <f t="shared" ref="L91:L98" si="32">+G91-H91</f>
        <v>0</v>
      </c>
    </row>
    <row r="92" spans="1:12" s="10" customFormat="1" ht="12.75" customHeight="1" x14ac:dyDescent="0.25">
      <c r="A92" s="8" t="s">
        <v>10</v>
      </c>
      <c r="B92" s="196">
        <f>[23]Report!$D$22</f>
        <v>153602.82</v>
      </c>
      <c r="C92" s="196">
        <f>[23]Report!$D$23</f>
        <v>323280.21999999997</v>
      </c>
      <c r="D92" s="196">
        <f>[23]Report!$D$24</f>
        <v>65415.19</v>
      </c>
      <c r="E92" s="196">
        <f>[23]Report!$D$25</f>
        <v>15851.39</v>
      </c>
      <c r="F92" s="197">
        <f t="shared" si="28"/>
        <v>558149.62</v>
      </c>
      <c r="G92" s="197">
        <f t="shared" si="29"/>
        <v>2071613.2123999996</v>
      </c>
      <c r="H92" s="197">
        <f>[23]Report!$E$26</f>
        <v>2071613.2123999998</v>
      </c>
      <c r="I92" s="196">
        <f t="shared" si="30"/>
        <v>558149.62</v>
      </c>
      <c r="J92" s="196">
        <f>-[23]Report!$D$26</f>
        <v>-558149.62</v>
      </c>
      <c r="K92" s="201">
        <f t="shared" si="31"/>
        <v>0</v>
      </c>
      <c r="L92" s="23">
        <f t="shared" si="32"/>
        <v>0</v>
      </c>
    </row>
    <row r="93" spans="1:12" s="10" customFormat="1" ht="12.75" customHeight="1" x14ac:dyDescent="0.25">
      <c r="A93" s="8" t="s">
        <v>11</v>
      </c>
      <c r="B93" s="196">
        <f>[23]Report!$D$28</f>
        <v>0</v>
      </c>
      <c r="C93" s="196">
        <f>[23]Report!$D$28</f>
        <v>0</v>
      </c>
      <c r="D93" s="196">
        <f>[23]Report!$D$28</f>
        <v>0</v>
      </c>
      <c r="E93" s="196">
        <f>[23]Report!$D$28</f>
        <v>0</v>
      </c>
      <c r="F93" s="197">
        <f t="shared" si="28"/>
        <v>0</v>
      </c>
      <c r="G93" s="197">
        <f t="shared" si="29"/>
        <v>0</v>
      </c>
      <c r="H93" s="197">
        <v>0</v>
      </c>
      <c r="I93" s="196">
        <f t="shared" si="30"/>
        <v>0</v>
      </c>
      <c r="J93" s="196">
        <f>[23]Report!$D$32</f>
        <v>0</v>
      </c>
      <c r="K93" s="201">
        <f t="shared" si="31"/>
        <v>0</v>
      </c>
      <c r="L93" s="23">
        <f t="shared" si="32"/>
        <v>0</v>
      </c>
    </row>
    <row r="94" spans="1:12" s="10" customFormat="1" ht="12.75" customHeight="1" x14ac:dyDescent="0.25">
      <c r="A94" s="8" t="s">
        <v>12</v>
      </c>
      <c r="B94" s="196">
        <f>[23]Report!$D$34</f>
        <v>-22310.98</v>
      </c>
      <c r="C94" s="196">
        <f>[23]Report!$D$35</f>
        <v>62132.76</v>
      </c>
      <c r="D94" s="196">
        <f>[23]Report!$D$36</f>
        <v>11470.5</v>
      </c>
      <c r="E94" s="196">
        <f>[23]Report!$D$37</f>
        <v>3896.82</v>
      </c>
      <c r="F94" s="197">
        <f t="shared" si="28"/>
        <v>55189.1</v>
      </c>
      <c r="G94" s="197">
        <f t="shared" si="29"/>
        <v>7737134.8199999984</v>
      </c>
      <c r="H94" s="197">
        <f>[23]Report!$E$38</f>
        <v>7737134.8200000012</v>
      </c>
      <c r="I94" s="196">
        <f t="shared" si="30"/>
        <v>55189.1</v>
      </c>
      <c r="J94" s="196">
        <f>-[23]Report!$D$38</f>
        <v>-55189.1</v>
      </c>
      <c r="K94" s="201">
        <f t="shared" si="31"/>
        <v>0</v>
      </c>
      <c r="L94" s="23">
        <f t="shared" si="32"/>
        <v>0</v>
      </c>
    </row>
    <row r="95" spans="1:12" s="10" customFormat="1" ht="12.75" customHeight="1" x14ac:dyDescent="0.25">
      <c r="A95" s="8" t="s">
        <v>13</v>
      </c>
      <c r="B95" s="196">
        <f>[23]Report!$D$40</f>
        <v>-161689995.06</v>
      </c>
      <c r="C95" s="196">
        <f>[23]Report!$D$41</f>
        <v>-335831676.80000001</v>
      </c>
      <c r="D95" s="196">
        <f>[23]Report!$D$42</f>
        <v>-83771305.719999999</v>
      </c>
      <c r="E95" s="196">
        <f>[23]Report!$D$43</f>
        <v>-10727578.810000001</v>
      </c>
      <c r="F95" s="197">
        <f t="shared" si="28"/>
        <v>-592020556.38999999</v>
      </c>
      <c r="G95" s="197">
        <f t="shared" si="29"/>
        <v>-5911434496.0199995</v>
      </c>
      <c r="H95" s="197">
        <f>[23]Report!$E$44</f>
        <v>-5911434496.0199995</v>
      </c>
      <c r="I95" s="196">
        <f t="shared" si="30"/>
        <v>-592020556.38999999</v>
      </c>
      <c r="J95" s="196">
        <f>-[23]Report!$D$44</f>
        <v>592020556.38999999</v>
      </c>
      <c r="K95" s="201">
        <f t="shared" si="31"/>
        <v>0</v>
      </c>
      <c r="L95" s="23">
        <f t="shared" si="32"/>
        <v>0</v>
      </c>
    </row>
    <row r="96" spans="1:12" s="10" customFormat="1" ht="12.75" customHeight="1" x14ac:dyDescent="0.25">
      <c r="A96" s="8" t="s">
        <v>14</v>
      </c>
      <c r="B96" s="23">
        <f>[23]Report!$D$56</f>
        <v>-5038244.04</v>
      </c>
      <c r="C96" s="23">
        <f>[23]Report!$D$57</f>
        <v>-13328243.23</v>
      </c>
      <c r="D96" s="23">
        <f>[23]Report!$D$58</f>
        <v>-1350136.4</v>
      </c>
      <c r="E96" s="23">
        <f>[23]Report!$D$59</f>
        <v>-552069.78</v>
      </c>
      <c r="F96" s="197">
        <f t="shared" si="28"/>
        <v>-20268693.449999999</v>
      </c>
      <c r="G96" s="197">
        <f t="shared" si="29"/>
        <v>-176050682.03</v>
      </c>
      <c r="H96" s="197">
        <f>[23]Report!$E$60</f>
        <v>-176050682.03</v>
      </c>
      <c r="I96" s="196">
        <f t="shared" si="30"/>
        <v>-20268693.449999999</v>
      </c>
      <c r="J96" s="196">
        <f>-[23]Report!$D$60</f>
        <v>20268693.449999999</v>
      </c>
      <c r="K96" s="201">
        <f t="shared" si="31"/>
        <v>0</v>
      </c>
      <c r="L96" s="23">
        <f t="shared" si="32"/>
        <v>0</v>
      </c>
    </row>
    <row r="97" spans="1:12" s="10" customFormat="1" ht="12.75" customHeight="1" x14ac:dyDescent="0.25">
      <c r="A97" s="8" t="s">
        <v>15</v>
      </c>
      <c r="B97" s="23">
        <f>[23]Report!$D$62</f>
        <v>1876742.11</v>
      </c>
      <c r="C97" s="23">
        <f>[23]Report!$D$63</f>
        <v>116916.06</v>
      </c>
      <c r="D97" s="23">
        <f>[23]Report!$D$64</f>
        <v>31015.13</v>
      </c>
      <c r="E97" s="23">
        <f>[23]Report!$D$65</f>
        <v>138103.94</v>
      </c>
      <c r="F97" s="197">
        <f t="shared" si="28"/>
        <v>2162777.2400000002</v>
      </c>
      <c r="G97" s="197">
        <f t="shared" si="29"/>
        <v>47838396.859999999</v>
      </c>
      <c r="H97" s="197">
        <f>[23]Report!$E$66</f>
        <v>47838396.860000007</v>
      </c>
      <c r="I97" s="196">
        <f t="shared" si="30"/>
        <v>2162777.2400000002</v>
      </c>
      <c r="J97" s="196">
        <f>-[23]Report!$D$66</f>
        <v>-2162777.2400000002</v>
      </c>
      <c r="K97" s="201">
        <f t="shared" si="31"/>
        <v>0</v>
      </c>
      <c r="L97" s="23">
        <f t="shared" si="32"/>
        <v>0</v>
      </c>
    </row>
    <row r="98" spans="1:12" s="10" customFormat="1" ht="12.75" customHeight="1" x14ac:dyDescent="0.25">
      <c r="A98" s="8" t="s">
        <v>79</v>
      </c>
      <c r="B98" s="23">
        <f>[23]Report!$D$50</f>
        <v>0</v>
      </c>
      <c r="C98" s="23">
        <f>[23]Report!$D$50</f>
        <v>0</v>
      </c>
      <c r="D98" s="23">
        <f>[23]Report!$D$50</f>
        <v>0</v>
      </c>
      <c r="E98" s="23">
        <f>[23]Report!$D$50</f>
        <v>0</v>
      </c>
      <c r="F98" s="197">
        <f t="shared" si="28"/>
        <v>0</v>
      </c>
      <c r="G98" s="197">
        <f t="shared" si="29"/>
        <v>0</v>
      </c>
      <c r="H98" s="197">
        <v>0</v>
      </c>
      <c r="I98" s="196">
        <f>F98</f>
        <v>0</v>
      </c>
      <c r="J98" s="23" t="e">
        <f>-'[22]TB Jan 09'!D98</f>
        <v>#REF!</v>
      </c>
      <c r="K98" s="201" t="e">
        <f>+J98+I98</f>
        <v>#REF!</v>
      </c>
      <c r="L98" s="23">
        <f t="shared" si="32"/>
        <v>0</v>
      </c>
    </row>
    <row r="99" spans="1:12" s="199" customFormat="1" ht="12.75" customHeight="1" thickBot="1" x14ac:dyDescent="0.3">
      <c r="A99" s="205" t="s">
        <v>16</v>
      </c>
      <c r="B99" s="206">
        <f>SUM(B90:B98)+B86</f>
        <v>5048002708.6143703</v>
      </c>
      <c r="C99" s="206">
        <f>SUM(C90:C98)+C86</f>
        <v>410498763.05157542</v>
      </c>
      <c r="D99" s="206">
        <f>SUM(D90:D98)+D86</f>
        <v>39569093.256124735</v>
      </c>
      <c r="E99" s="206">
        <f>SUM(E90:E98)+E86</f>
        <v>368287426.16742325</v>
      </c>
      <c r="F99" s="206">
        <f>SUM(F90:F98)+F86</f>
        <v>5866357991.0894966</v>
      </c>
      <c r="G99" s="221">
        <f>G90+G91+G92+G93+G94+G95+G96+G97+G98</f>
        <v>33934523.592399672</v>
      </c>
      <c r="H99" s="221">
        <f>H90+H91+H92+H93+H94+H95+H96+H97+H98</f>
        <v>33934523.592400633</v>
      </c>
      <c r="I99" s="221">
        <f>SUM(I90:I98)</f>
        <v>23456779.210000075</v>
      </c>
      <c r="J99" s="221" t="e">
        <f>SUM(J90:J98)</f>
        <v>#REF!</v>
      </c>
      <c r="K99" s="206" t="e">
        <f>I99+J99</f>
        <v>#REF!</v>
      </c>
      <c r="L99" s="232"/>
    </row>
    <row r="100" spans="1:12" s="199" customFormat="1" ht="12.75" customHeight="1" thickTop="1" x14ac:dyDescent="0.25">
      <c r="A100" s="205"/>
      <c r="B100" s="209"/>
      <c r="C100" s="209"/>
      <c r="D100" s="209"/>
      <c r="E100" s="209"/>
      <c r="F100" s="195"/>
      <c r="G100" s="195"/>
      <c r="H100" s="195"/>
      <c r="I100" s="198"/>
    </row>
    <row r="101" spans="1:12" s="10" customFormat="1" ht="12.75" customHeight="1" x14ac:dyDescent="0.25">
      <c r="A101" s="8"/>
      <c r="B101" s="196"/>
      <c r="C101" s="196"/>
      <c r="F101" s="196"/>
      <c r="G101" s="198" t="s">
        <v>32</v>
      </c>
      <c r="H101" s="198" t="s">
        <v>32</v>
      </c>
      <c r="I101" s="198" t="s">
        <v>31</v>
      </c>
      <c r="J101" s="198" t="s">
        <v>31</v>
      </c>
      <c r="K101" s="198" t="s">
        <v>85</v>
      </c>
    </row>
    <row r="102" spans="1:12" s="10" customFormat="1" ht="12.75" customHeight="1" x14ac:dyDescent="0.3">
      <c r="A102" s="15" t="s">
        <v>23</v>
      </c>
      <c r="B102" s="212"/>
      <c r="C102" s="212"/>
      <c r="D102" s="22"/>
      <c r="E102" s="22"/>
      <c r="F102" s="78"/>
      <c r="G102" s="198" t="s">
        <v>44</v>
      </c>
      <c r="H102" s="199" t="s">
        <v>45</v>
      </c>
      <c r="I102" s="198" t="s">
        <v>44</v>
      </c>
      <c r="J102" s="199" t="s">
        <v>45</v>
      </c>
      <c r="L102" s="76"/>
    </row>
    <row r="103" spans="1:12" s="10" customFormat="1" ht="12.75" customHeight="1" x14ac:dyDescent="0.25">
      <c r="A103" s="8" t="s">
        <v>8</v>
      </c>
      <c r="B103" s="197">
        <f>'[22]TB August 09'!D9</f>
        <v>176853307.27000001</v>
      </c>
      <c r="C103" s="197">
        <f>'[22]TB August 09'!D10</f>
        <v>372122613.39999998</v>
      </c>
      <c r="D103" s="197">
        <f>'[22]TB August 09'!D11</f>
        <v>75635189.739999995</v>
      </c>
      <c r="E103" s="197">
        <f>'[22]TB August 09'!D12</f>
        <v>18283725.789999999</v>
      </c>
      <c r="F103" s="222">
        <f>SUM(B103:E103)</f>
        <v>642894836.19999993</v>
      </c>
      <c r="G103" s="197">
        <f t="shared" ref="G103:G110" si="33">G90+F103</f>
        <v>6704067157.8399992</v>
      </c>
      <c r="H103" s="197">
        <f>'[22]TB August 09'!E14</f>
        <v>6704067157.8400002</v>
      </c>
      <c r="I103" s="196">
        <f>F103</f>
        <v>642894836.19999993</v>
      </c>
      <c r="J103" s="23">
        <f>-'[22]TB August 09'!D14</f>
        <v>-642894836.19999993</v>
      </c>
      <c r="K103" s="201">
        <f>+J103+I103</f>
        <v>0</v>
      </c>
      <c r="L103" s="23">
        <f>+G103-H103</f>
        <v>0</v>
      </c>
    </row>
    <row r="104" spans="1:12" s="10" customFormat="1" ht="12.75" customHeight="1" x14ac:dyDescent="0.25">
      <c r="A104" s="8" t="s">
        <v>9</v>
      </c>
      <c r="B104" s="196">
        <f>'[22]TB August 09'!D16</f>
        <v>390458.37</v>
      </c>
      <c r="C104" s="196">
        <f>'[22]TB August 09'!D17</f>
        <v>821650.04</v>
      </c>
      <c r="D104" s="23">
        <f>'[22]TB August 09'!D18</f>
        <v>166271.17000000001</v>
      </c>
      <c r="E104" s="23">
        <f>'[22]TB August 09'!D19</f>
        <v>40288.01</v>
      </c>
      <c r="F104" s="23">
        <f t="shared" ref="F104:F111" si="34">SUM(B104:E104)</f>
        <v>1418667.59</v>
      </c>
      <c r="G104" s="197">
        <f t="shared" si="33"/>
        <v>4018902.6999999993</v>
      </c>
      <c r="H104" s="197">
        <f>'[22]TB August 09'!E20</f>
        <v>4018902.7</v>
      </c>
      <c r="I104" s="196">
        <f t="shared" ref="I104:I110" si="35">F104</f>
        <v>1418667.59</v>
      </c>
      <c r="J104" s="196">
        <f>-'[22]TB August 09'!D20</f>
        <v>-1418667.59</v>
      </c>
      <c r="K104" s="201">
        <f t="shared" ref="K104:K110" si="36">+J104+I104</f>
        <v>0</v>
      </c>
      <c r="L104" s="23">
        <f t="shared" ref="L104:L111" si="37">+G104-H104</f>
        <v>0</v>
      </c>
    </row>
    <row r="105" spans="1:12" s="10" customFormat="1" ht="12.75" customHeight="1" x14ac:dyDescent="0.25">
      <c r="A105" s="8" t="s">
        <v>10</v>
      </c>
      <c r="B105" s="196">
        <f>'[22]TB August 09'!D22</f>
        <v>41173.82</v>
      </c>
      <c r="C105" s="196">
        <f>'[22]TB August 09'!D23</f>
        <v>86656.5</v>
      </c>
      <c r="D105" s="23">
        <f>'[22]TB August 09'!D24</f>
        <v>17534.8</v>
      </c>
      <c r="E105" s="23">
        <f>'[22]TB August 09'!D25</f>
        <v>4248.99</v>
      </c>
      <c r="F105" s="23">
        <f t="shared" si="34"/>
        <v>149614.10999999999</v>
      </c>
      <c r="G105" s="197">
        <f t="shared" si="33"/>
        <v>2221227.3223999995</v>
      </c>
      <c r="H105" s="197">
        <f>'[22]TB August 09'!E26</f>
        <v>2221227.3224000004</v>
      </c>
      <c r="I105" s="196">
        <f t="shared" si="35"/>
        <v>149614.10999999999</v>
      </c>
      <c r="J105" s="196">
        <f>-'[22]TB August 09'!D26</f>
        <v>-149614.10999999999</v>
      </c>
      <c r="K105" s="201">
        <f t="shared" si="36"/>
        <v>0</v>
      </c>
      <c r="L105" s="23">
        <f t="shared" si="37"/>
        <v>0</v>
      </c>
    </row>
    <row r="106" spans="1:12" s="10" customFormat="1" ht="12.75" customHeight="1" x14ac:dyDescent="0.25">
      <c r="A106" s="8" t="s">
        <v>11</v>
      </c>
      <c r="B106" s="196">
        <f>'[22]TB August 09'!D28</f>
        <v>0</v>
      </c>
      <c r="C106" s="196">
        <f>'[22]TB August 09'!E28</f>
        <v>0</v>
      </c>
      <c r="D106" s="196">
        <v>0</v>
      </c>
      <c r="E106" s="196">
        <v>0</v>
      </c>
      <c r="F106" s="23">
        <f t="shared" si="34"/>
        <v>0</v>
      </c>
      <c r="G106" s="197">
        <f t="shared" si="33"/>
        <v>0</v>
      </c>
      <c r="H106" s="197">
        <f>'[22]TB August 09'!D32</f>
        <v>0</v>
      </c>
      <c r="I106" s="196">
        <f t="shared" si="35"/>
        <v>0</v>
      </c>
      <c r="J106" s="196">
        <f>'[22]TB August 09'!D32</f>
        <v>0</v>
      </c>
      <c r="K106" s="201">
        <f t="shared" si="36"/>
        <v>0</v>
      </c>
      <c r="L106" s="23">
        <f t="shared" si="37"/>
        <v>0</v>
      </c>
    </row>
    <row r="107" spans="1:12" s="10" customFormat="1" ht="12.75" customHeight="1" x14ac:dyDescent="0.25">
      <c r="A107" s="8" t="s">
        <v>12</v>
      </c>
      <c r="B107" s="196">
        <f>'[22]TB August 09'!D34</f>
        <v>-2276562.25</v>
      </c>
      <c r="C107" s="196">
        <f>'[22]TB August 09'!D35</f>
        <v>278722.78999999998</v>
      </c>
      <c r="D107" s="23">
        <f>'[22]TB August 09'!D36</f>
        <v>55075.95</v>
      </c>
      <c r="E107" s="23">
        <f>'[22]TB August 09'!D37</f>
        <v>13368.23</v>
      </c>
      <c r="F107" s="23">
        <f t="shared" si="34"/>
        <v>-1929395.28</v>
      </c>
      <c r="G107" s="197">
        <f t="shared" si="33"/>
        <v>5807739.5399999982</v>
      </c>
      <c r="H107" s="197">
        <f>'[22]TB August 09'!E38</f>
        <v>5807739.54</v>
      </c>
      <c r="I107" s="196">
        <f t="shared" si="35"/>
        <v>-1929395.28</v>
      </c>
      <c r="J107" s="196">
        <f>-'[22]TB August 09'!D38</f>
        <v>1929395.28</v>
      </c>
      <c r="K107" s="201">
        <f t="shared" si="36"/>
        <v>0</v>
      </c>
      <c r="L107" s="23">
        <f t="shared" si="37"/>
        <v>0</v>
      </c>
    </row>
    <row r="108" spans="1:12" s="10" customFormat="1" ht="12.75" customHeight="1" x14ac:dyDescent="0.25">
      <c r="A108" s="8" t="s">
        <v>13</v>
      </c>
      <c r="B108" s="211">
        <f>'[22]TB August 09'!D40</f>
        <v>-191739966.96000001</v>
      </c>
      <c r="C108" s="211">
        <f>'[22]TB August 09'!D41</f>
        <v>-380569381.48000002</v>
      </c>
      <c r="D108" s="211">
        <f>'[22]TB August 09'!D42</f>
        <v>-87689506</v>
      </c>
      <c r="E108" s="211">
        <f>'[22]TB August 09'!D43</f>
        <v>-12032597.039999999</v>
      </c>
      <c r="F108" s="211">
        <f t="shared" si="34"/>
        <v>-672031451.48000002</v>
      </c>
      <c r="G108" s="197">
        <f t="shared" si="33"/>
        <v>-6583465947.5</v>
      </c>
      <c r="H108" s="197">
        <f>'[22]TB August 09'!E44</f>
        <v>-6583465947.5</v>
      </c>
      <c r="I108" s="196">
        <f t="shared" si="35"/>
        <v>-672031451.48000002</v>
      </c>
      <c r="J108" s="196">
        <f>-'[22]TB August 09'!D44</f>
        <v>672031451.48000002</v>
      </c>
      <c r="K108" s="201">
        <f t="shared" si="36"/>
        <v>0</v>
      </c>
      <c r="L108" s="23">
        <f t="shared" si="37"/>
        <v>0</v>
      </c>
    </row>
    <row r="109" spans="1:12" s="10" customFormat="1" ht="12.75" customHeight="1" x14ac:dyDescent="0.25">
      <c r="A109" s="8" t="s">
        <v>14</v>
      </c>
      <c r="B109" s="23">
        <f>'[22]TB August 09'!D56</f>
        <v>-4468619.8</v>
      </c>
      <c r="C109" s="196">
        <f>'[22]TB August 09'!D57</f>
        <v>-1361885.56</v>
      </c>
      <c r="D109" s="23">
        <f>'[22]TB August 09'!D58</f>
        <v>-172009.4</v>
      </c>
      <c r="E109" s="23">
        <f>'[22]TB August 09'!D59</f>
        <v>-722791.23</v>
      </c>
      <c r="F109" s="23">
        <f t="shared" si="34"/>
        <v>-6725305.9900000002</v>
      </c>
      <c r="G109" s="197">
        <f t="shared" si="33"/>
        <v>-182775988.02000001</v>
      </c>
      <c r="H109" s="197">
        <f>'[22]TB August 09'!E60</f>
        <v>-182775988.02000001</v>
      </c>
      <c r="I109" s="196">
        <f t="shared" si="35"/>
        <v>-6725305.9900000002</v>
      </c>
      <c r="J109" s="196">
        <f>-'[22]TB August 09'!D60</f>
        <v>6725305.9900000002</v>
      </c>
      <c r="K109" s="201">
        <f t="shared" si="36"/>
        <v>0</v>
      </c>
      <c r="L109" s="23">
        <f t="shared" si="37"/>
        <v>0</v>
      </c>
    </row>
    <row r="110" spans="1:12" s="10" customFormat="1" ht="12.75" customHeight="1" x14ac:dyDescent="0.25">
      <c r="A110" s="8" t="s">
        <v>15</v>
      </c>
      <c r="B110" s="23">
        <f>[24]Report!$D$62</f>
        <v>1810581.71</v>
      </c>
      <c r="C110" s="196">
        <f>[24]Report!$D$63</f>
        <v>115456.84</v>
      </c>
      <c r="D110" s="23">
        <f>[24]Report!$D$64</f>
        <v>27073.05</v>
      </c>
      <c r="E110" s="23">
        <f>[24]Report!$D$65</f>
        <v>134262.29</v>
      </c>
      <c r="F110" s="23">
        <f t="shared" si="34"/>
        <v>2087373.8900000001</v>
      </c>
      <c r="G110" s="197">
        <f t="shared" si="33"/>
        <v>49925770.75</v>
      </c>
      <c r="H110" s="197">
        <f>'[22]TB August 09'!E66</f>
        <v>49925770.75</v>
      </c>
      <c r="I110" s="196">
        <f t="shared" si="35"/>
        <v>2087373.8900000001</v>
      </c>
      <c r="J110" s="196">
        <f>-'[22]TB August 09'!D66</f>
        <v>-2087373.8900000001</v>
      </c>
      <c r="K110" s="201">
        <f t="shared" si="36"/>
        <v>0</v>
      </c>
      <c r="L110" s="23">
        <f t="shared" si="37"/>
        <v>0</v>
      </c>
    </row>
    <row r="111" spans="1:12" s="10" customFormat="1" ht="12.75" customHeight="1" x14ac:dyDescent="0.25">
      <c r="A111" s="8" t="s">
        <v>79</v>
      </c>
      <c r="B111" s="23">
        <f>'[22]TB August 09'!D50</f>
        <v>0</v>
      </c>
      <c r="C111" s="23">
        <f>'[22]TB August 09'!E50</f>
        <v>0</v>
      </c>
      <c r="D111" s="23">
        <v>0</v>
      </c>
      <c r="E111" s="23">
        <v>0</v>
      </c>
      <c r="F111" s="23">
        <f t="shared" si="34"/>
        <v>0</v>
      </c>
      <c r="G111" s="197">
        <f>G98+F111</f>
        <v>0</v>
      </c>
      <c r="H111" s="197">
        <f>'[22]TB August 09'!E54</f>
        <v>0</v>
      </c>
      <c r="I111" s="196">
        <f>F111</f>
        <v>0</v>
      </c>
      <c r="J111" s="23" t="e">
        <f>-'[22]TB Jan 09'!D111</f>
        <v>#REF!</v>
      </c>
      <c r="K111" s="201" t="e">
        <f>+J111+I111</f>
        <v>#REF!</v>
      </c>
      <c r="L111" s="23">
        <f t="shared" si="37"/>
        <v>0</v>
      </c>
    </row>
    <row r="112" spans="1:12" s="199" customFormat="1" ht="12.75" customHeight="1" thickBot="1" x14ac:dyDescent="0.3">
      <c r="A112" s="205" t="s">
        <v>16</v>
      </c>
      <c r="B112" s="206">
        <f>SUM(B103:B111)+B99</f>
        <v>5028613080.7743702</v>
      </c>
      <c r="C112" s="206">
        <f>SUM(C103:C111)+C99</f>
        <v>401992595.58157539</v>
      </c>
      <c r="D112" s="206">
        <f>SUM(D103:D111)+D99</f>
        <v>27608722.56612473</v>
      </c>
      <c r="E112" s="206">
        <f>SUM(E103:E111)+E99</f>
        <v>374007931.20742327</v>
      </c>
      <c r="F112" s="206">
        <f>SUM(F103:F111)+F99</f>
        <v>5832222330.1294966</v>
      </c>
      <c r="G112" s="221">
        <f>G103+G104+G105+G106+G107+G108+G109+G110+G111</f>
        <v>-201137.36760094762</v>
      </c>
      <c r="H112" s="221">
        <f>H103+H104+H105+H106+H107+H108+H109+H110+H111</f>
        <v>-201137.36759999394</v>
      </c>
      <c r="I112" s="223">
        <f>I103+I104+I105+I106+I107+I108+I109+I110+I111</f>
        <v>-34135660.960000016</v>
      </c>
      <c r="J112" s="223" t="e">
        <f>J103+J104+J105+J106+J107+J108+J109+J110+J111</f>
        <v>#REF!</v>
      </c>
      <c r="K112" s="206" t="e">
        <f>K103+K104+K105+K106+K107+K108+K109+K110+K111</f>
        <v>#REF!</v>
      </c>
      <c r="L112" s="23"/>
    </row>
    <row r="113" spans="1:12" s="199" customFormat="1" ht="12.75" customHeight="1" thickTop="1" x14ac:dyDescent="0.25">
      <c r="A113" s="205"/>
      <c r="B113" s="209"/>
      <c r="C113" s="209"/>
      <c r="D113" s="209"/>
      <c r="E113" s="209"/>
      <c r="F113" s="195"/>
      <c r="G113" s="195"/>
      <c r="H113" s="195"/>
      <c r="I113" s="198"/>
    </row>
    <row r="114" spans="1:12" s="10" customFormat="1" ht="12.75" customHeight="1" x14ac:dyDescent="0.25">
      <c r="A114" s="8"/>
      <c r="B114" s="196"/>
      <c r="C114" s="196"/>
      <c r="F114" s="196"/>
      <c r="G114" s="198" t="s">
        <v>32</v>
      </c>
      <c r="H114" s="198" t="s">
        <v>32</v>
      </c>
      <c r="I114" s="198" t="s">
        <v>31</v>
      </c>
      <c r="J114" s="198" t="s">
        <v>31</v>
      </c>
      <c r="K114" s="198" t="s">
        <v>85</v>
      </c>
    </row>
    <row r="115" spans="1:12" s="10" customFormat="1" ht="12.75" customHeight="1" x14ac:dyDescent="0.25">
      <c r="A115" s="15" t="s">
        <v>24</v>
      </c>
      <c r="B115" s="212"/>
      <c r="C115" s="212"/>
      <c r="D115" s="22"/>
      <c r="E115" s="22"/>
      <c r="F115" s="212"/>
      <c r="G115" s="198" t="s">
        <v>44</v>
      </c>
      <c r="H115" s="199" t="s">
        <v>45</v>
      </c>
      <c r="I115" s="198" t="s">
        <v>44</v>
      </c>
      <c r="J115" s="199" t="s">
        <v>45</v>
      </c>
    </row>
    <row r="116" spans="1:12" s="10" customFormat="1" ht="12.75" customHeight="1" x14ac:dyDescent="0.25">
      <c r="A116" s="8" t="s">
        <v>8</v>
      </c>
      <c r="B116" s="197">
        <f>'[22]TB Sept 09'!D9</f>
        <v>177202066.53999999</v>
      </c>
      <c r="C116" s="197">
        <f>'[22]TB Sept 09'!D10</f>
        <v>372887472.37</v>
      </c>
      <c r="D116" s="197">
        <f>'[22]TB Sept 09'!D11</f>
        <v>75441055.049999997</v>
      </c>
      <c r="E116" s="200">
        <f>'[22]TB Sept 09'!D12</f>
        <v>18310473.59</v>
      </c>
      <c r="F116" s="197">
        <f>SUM(B116:E116)</f>
        <v>643841067.54999995</v>
      </c>
      <c r="G116" s="197">
        <f t="shared" ref="G116:G124" si="38">G103+F116</f>
        <v>7347908225.3899994</v>
      </c>
      <c r="H116" s="197">
        <f>'[22]TB Sept 09'!E14</f>
        <v>7347908225.3900003</v>
      </c>
      <c r="I116" s="196">
        <f>F116</f>
        <v>643841067.54999995</v>
      </c>
      <c r="J116" s="23">
        <f>-'[22]TB Sept 09'!D14</f>
        <v>-643841067.54999995</v>
      </c>
      <c r="K116" s="201">
        <f>+J116+I116</f>
        <v>0</v>
      </c>
      <c r="L116" s="23">
        <f>+G116-H116</f>
        <v>0</v>
      </c>
    </row>
    <row r="117" spans="1:12" s="10" customFormat="1" ht="12.75" customHeight="1" x14ac:dyDescent="0.25">
      <c r="A117" s="8" t="s">
        <v>9</v>
      </c>
      <c r="B117" s="197">
        <f>'[22]TB Sept 09'!D16</f>
        <v>96866.12</v>
      </c>
      <c r="C117" s="197">
        <f>'[22]TB Sept 09'!D17</f>
        <v>203552.83</v>
      </c>
      <c r="D117" s="197">
        <f>'[22]TB Sept 09'!D18</f>
        <v>41200.480000000003</v>
      </c>
      <c r="E117" s="197">
        <f>'[22]TB Sept 09'!D19</f>
        <v>10022.36</v>
      </c>
      <c r="F117" s="197">
        <f t="shared" ref="F117:F123" si="39">SUM(B117:E117)</f>
        <v>351641.78999999992</v>
      </c>
      <c r="G117" s="197">
        <f t="shared" si="38"/>
        <v>4370544.4899999993</v>
      </c>
      <c r="H117" s="65">
        <f>'[22]TB Sept 09'!E20</f>
        <v>4370544.49</v>
      </c>
      <c r="I117" s="196">
        <f t="shared" ref="I117:I123" si="40">F117</f>
        <v>351641.78999999992</v>
      </c>
      <c r="J117" s="196">
        <f>-'[22]TB Sept 09'!D20</f>
        <v>-351641.78999999992</v>
      </c>
      <c r="K117" s="201">
        <f t="shared" ref="K117:K123" si="41">+J117+I117</f>
        <v>0</v>
      </c>
      <c r="L117" s="23">
        <f t="shared" ref="L117:L124" si="42">+G117-H117</f>
        <v>0</v>
      </c>
    </row>
    <row r="118" spans="1:12" s="10" customFormat="1" ht="12.75" customHeight="1" x14ac:dyDescent="0.25">
      <c r="A118" s="8" t="s">
        <v>10</v>
      </c>
      <c r="B118" s="197">
        <f>'[22]TB Sept 09'!D22</f>
        <v>84223.3</v>
      </c>
      <c r="C118" s="197">
        <f>'[22]TB Sept 09'!D23</f>
        <v>177260.61</v>
      </c>
      <c r="D118" s="197">
        <f>'[22]TB Sept 09'!D24</f>
        <v>35868.32</v>
      </c>
      <c r="E118" s="197">
        <f>'[22]TB Sept 09'!D25</f>
        <v>8691.69</v>
      </c>
      <c r="F118" s="197">
        <f t="shared" si="39"/>
        <v>306043.92</v>
      </c>
      <c r="G118" s="197">
        <f t="shared" si="38"/>
        <v>2527271.2423999994</v>
      </c>
      <c r="H118" s="197">
        <f>'[22]TB Sept 09'!E26</f>
        <v>2527271.2424000003</v>
      </c>
      <c r="I118" s="196">
        <f t="shared" si="40"/>
        <v>306043.92</v>
      </c>
      <c r="J118" s="196">
        <f>-'[22]TB Sept 09'!D26</f>
        <v>-306043.92</v>
      </c>
      <c r="K118" s="201">
        <f t="shared" si="41"/>
        <v>0</v>
      </c>
      <c r="L118" s="23">
        <f t="shared" si="42"/>
        <v>0</v>
      </c>
    </row>
    <row r="119" spans="1:12" s="10" customFormat="1" ht="12.75" customHeight="1" x14ac:dyDescent="0.25">
      <c r="A119" s="8" t="s">
        <v>11</v>
      </c>
      <c r="B119" s="196">
        <f>'[22]TB Sept 09'!D28</f>
        <v>0</v>
      </c>
      <c r="C119" s="196">
        <f>'[22]TB Sept 09'!E28</f>
        <v>0</v>
      </c>
      <c r="D119" s="196">
        <v>0</v>
      </c>
      <c r="E119" s="196">
        <v>0</v>
      </c>
      <c r="F119" s="197">
        <v>0</v>
      </c>
      <c r="G119" s="197">
        <f t="shared" si="38"/>
        <v>0</v>
      </c>
      <c r="H119" s="197">
        <f>'[22]TB Sept 09'!D32</f>
        <v>0</v>
      </c>
      <c r="I119" s="196">
        <f t="shared" si="40"/>
        <v>0</v>
      </c>
      <c r="J119" s="196">
        <f>'[22]TB Sept 09'!D32</f>
        <v>0</v>
      </c>
      <c r="K119" s="201">
        <f t="shared" si="41"/>
        <v>0</v>
      </c>
      <c r="L119" s="23">
        <f t="shared" si="42"/>
        <v>0</v>
      </c>
    </row>
    <row r="120" spans="1:12" s="10" customFormat="1" ht="12.75" customHeight="1" x14ac:dyDescent="0.25">
      <c r="A120" s="8" t="s">
        <v>12</v>
      </c>
      <c r="B120" s="196">
        <f>'[22]TB Sept 09'!D34</f>
        <v>72294.27</v>
      </c>
      <c r="C120" s="196">
        <f>'[22]TB Sept 09'!D35</f>
        <v>-235172.31</v>
      </c>
      <c r="D120" s="196">
        <f>'[22]TB Sept 09'!D36</f>
        <v>-48196.56</v>
      </c>
      <c r="E120" s="196">
        <f>'[22]TB Sept 09'!D37</f>
        <v>-11700.01</v>
      </c>
      <c r="F120" s="197">
        <f t="shared" si="39"/>
        <v>-222774.61</v>
      </c>
      <c r="G120" s="197">
        <f t="shared" si="38"/>
        <v>5584964.9299999978</v>
      </c>
      <c r="H120" s="197">
        <f>'[22]TB Sept 09'!E38</f>
        <v>5584964.9299999997</v>
      </c>
      <c r="I120" s="196">
        <f t="shared" si="40"/>
        <v>-222774.61</v>
      </c>
      <c r="J120" s="196">
        <f>-'[22]TB Sept 09'!D38</f>
        <v>222774.61</v>
      </c>
      <c r="K120" s="201">
        <f t="shared" si="41"/>
        <v>0</v>
      </c>
      <c r="L120" s="23">
        <f t="shared" si="42"/>
        <v>0</v>
      </c>
    </row>
    <row r="121" spans="1:12" s="10" customFormat="1" ht="12.75" customHeight="1" x14ac:dyDescent="0.25">
      <c r="A121" s="8" t="s">
        <v>13</v>
      </c>
      <c r="B121" s="196">
        <f>'[22]TB Sept 09'!D40</f>
        <v>-112602272.54000001</v>
      </c>
      <c r="C121" s="196">
        <f>'[22]TB Sept 09'!D41</f>
        <v>-384551920.83999997</v>
      </c>
      <c r="D121" s="196">
        <f>'[22]TB Sept 09'!D42</f>
        <v>-87053670.969999999</v>
      </c>
      <c r="E121" s="196">
        <f>'[22]TB Sept 09'!D43</f>
        <v>-4530375.7</v>
      </c>
      <c r="F121" s="197">
        <f t="shared" si="39"/>
        <v>-588738240.05000007</v>
      </c>
      <c r="G121" s="197">
        <f t="shared" si="38"/>
        <v>-7172204187.5500002</v>
      </c>
      <c r="H121" s="197">
        <f>'[22]TB Sept 09'!E44</f>
        <v>-7172204187.5500002</v>
      </c>
      <c r="I121" s="196">
        <f t="shared" si="40"/>
        <v>-588738240.05000007</v>
      </c>
      <c r="J121" s="196">
        <f>-'[22]TB Sept 09'!D44</f>
        <v>588738240.05000007</v>
      </c>
      <c r="K121" s="201">
        <f t="shared" si="41"/>
        <v>0</v>
      </c>
      <c r="L121" s="23">
        <f t="shared" si="42"/>
        <v>0</v>
      </c>
    </row>
    <row r="122" spans="1:12" s="10" customFormat="1" ht="12.75" customHeight="1" x14ac:dyDescent="0.25">
      <c r="A122" s="8" t="s">
        <v>14</v>
      </c>
      <c r="B122" s="23">
        <f>'[22]TB Sept 09'!D56</f>
        <v>-1484965.19</v>
      </c>
      <c r="C122" s="23">
        <f>'[22]TB Sept 09'!D57</f>
        <v>-3124241.57</v>
      </c>
      <c r="D122" s="23">
        <f>'[22]TB Sept 09'!D58</f>
        <v>-631735.6</v>
      </c>
      <c r="E122" s="23">
        <f>'[22]TB Sept 09'!D59</f>
        <v>-153977.19</v>
      </c>
      <c r="F122" s="197">
        <f t="shared" si="39"/>
        <v>-5394919.5499999998</v>
      </c>
      <c r="G122" s="197">
        <f t="shared" si="38"/>
        <v>-188170907.57000002</v>
      </c>
      <c r="H122" s="197">
        <f>'[22]TB Sept 09'!E60</f>
        <v>-188170907.57000002</v>
      </c>
      <c r="I122" s="196">
        <f t="shared" si="40"/>
        <v>-5394919.5499999998</v>
      </c>
      <c r="J122" s="196">
        <f>-'[22]TB Sept 09'!D60</f>
        <v>5394919.5499999998</v>
      </c>
      <c r="K122" s="201">
        <f t="shared" si="41"/>
        <v>0</v>
      </c>
      <c r="L122" s="23">
        <f t="shared" si="42"/>
        <v>0</v>
      </c>
    </row>
    <row r="123" spans="1:12" s="10" customFormat="1" ht="12.75" customHeight="1" x14ac:dyDescent="0.25">
      <c r="A123" s="8" t="s">
        <v>15</v>
      </c>
      <c r="B123" s="23">
        <f>'[22]TB Sept 09'!D62</f>
        <v>1528516.44</v>
      </c>
      <c r="C123" s="23">
        <f>'[22]TB Sept 09'!D63</f>
        <v>99715.16</v>
      </c>
      <c r="D123" s="23">
        <f>'[22]TB Sept 09'!D64</f>
        <v>17339.53</v>
      </c>
      <c r="E123" s="23">
        <f>'[22]TB Sept 09'!D65</f>
        <v>117488.28</v>
      </c>
      <c r="F123" s="197">
        <f t="shared" si="39"/>
        <v>1763059.41</v>
      </c>
      <c r="G123" s="197">
        <f t="shared" si="38"/>
        <v>51688830.159999996</v>
      </c>
      <c r="H123" s="197">
        <f>'[22]TB Sept 09'!E66</f>
        <v>51688830.159999996</v>
      </c>
      <c r="I123" s="196">
        <f t="shared" si="40"/>
        <v>1763059.41</v>
      </c>
      <c r="J123" s="196">
        <f>-'[22]TB Sept 09'!D66</f>
        <v>-1763059.41</v>
      </c>
      <c r="K123" s="201">
        <f t="shared" si="41"/>
        <v>0</v>
      </c>
      <c r="L123" s="23">
        <f t="shared" si="42"/>
        <v>0</v>
      </c>
    </row>
    <row r="124" spans="1:12" s="10" customFormat="1" ht="12.75" customHeight="1" x14ac:dyDescent="0.25">
      <c r="A124" s="8" t="s">
        <v>79</v>
      </c>
      <c r="B124" s="23">
        <f>'[22]TB Sept 09'!D50</f>
        <v>0</v>
      </c>
      <c r="C124" s="23">
        <f>'[22]TB Sept 09'!E50</f>
        <v>0</v>
      </c>
      <c r="D124" s="23">
        <v>0</v>
      </c>
      <c r="E124" s="23">
        <v>0</v>
      </c>
      <c r="F124" s="197">
        <v>0</v>
      </c>
      <c r="G124" s="197">
        <f t="shared" si="38"/>
        <v>0</v>
      </c>
      <c r="H124" s="197">
        <v>0</v>
      </c>
      <c r="I124" s="196">
        <f>F124</f>
        <v>0</v>
      </c>
      <c r="J124" s="23" t="e">
        <f>-'[22]TB Jan 09'!D124</f>
        <v>#REF!</v>
      </c>
      <c r="K124" s="201" t="e">
        <f>+J124+I124</f>
        <v>#REF!</v>
      </c>
      <c r="L124" s="23">
        <f t="shared" si="42"/>
        <v>0</v>
      </c>
    </row>
    <row r="125" spans="1:12" s="199" customFormat="1" ht="12.75" customHeight="1" thickBot="1" x14ac:dyDescent="0.3">
      <c r="A125" s="205" t="s">
        <v>16</v>
      </c>
      <c r="B125" s="206">
        <f>SUM(B112:B124)</f>
        <v>5093509809.7143707</v>
      </c>
      <c r="C125" s="206">
        <f>SUM(C112:C124)</f>
        <v>387449261.83157557</v>
      </c>
      <c r="D125" s="206">
        <f>SUM(D112:D124)</f>
        <v>15410582.816124715</v>
      </c>
      <c r="E125" s="206">
        <f>SUM(E112:E124)</f>
        <v>387758554.22742325</v>
      </c>
      <c r="F125" s="206">
        <f>SUM(F112:F124)</f>
        <v>5884128208.5894966</v>
      </c>
      <c r="G125" s="221">
        <f>G116+G117+G118+G119+G120+G121+G122+G123+G124</f>
        <v>51704741.092399418</v>
      </c>
      <c r="H125" s="221">
        <f>H116+H117+H118+H119+H120+H121+H122+H123+H124</f>
        <v>51704741.092400372</v>
      </c>
      <c r="I125" s="220">
        <f>I116+I117+I118+I119+I120+I121+I122+I123+I124</f>
        <v>51905878.459999785</v>
      </c>
      <c r="J125" s="220" t="e">
        <f>J116+J117+J118+J119+J120+J121+J122+J123+J124</f>
        <v>#REF!</v>
      </c>
      <c r="K125" s="206" t="e">
        <f>K116+K117+K118+K119+K120+K121+K122+K123+K124</f>
        <v>#REF!</v>
      </c>
      <c r="L125" s="23"/>
    </row>
    <row r="126" spans="1:12" s="10" customFormat="1" ht="12.75" customHeight="1" thickTop="1" x14ac:dyDescent="0.25">
      <c r="A126" s="8"/>
      <c r="B126" s="196"/>
      <c r="C126" s="196"/>
      <c r="D126" s="196"/>
      <c r="E126" s="196"/>
      <c r="F126" s="196"/>
      <c r="G126" s="196"/>
      <c r="H126" s="196">
        <v>51704741.092400372</v>
      </c>
      <c r="I126" s="196"/>
      <c r="J126" s="70">
        <v>51905878.459999785</v>
      </c>
    </row>
    <row r="127" spans="1:12" s="10" customFormat="1" ht="12.75" customHeight="1" x14ac:dyDescent="0.25">
      <c r="A127" s="8"/>
      <c r="B127" s="196"/>
      <c r="C127" s="196"/>
      <c r="D127" s="196"/>
      <c r="E127" s="196"/>
      <c r="F127" s="196"/>
      <c r="G127" s="196"/>
      <c r="H127" s="196"/>
      <c r="I127" s="196"/>
    </row>
    <row r="128" spans="1:12" s="10" customFormat="1" ht="12.75" customHeight="1" x14ac:dyDescent="0.25">
      <c r="A128" s="8"/>
      <c r="B128" s="196"/>
      <c r="C128" s="196"/>
      <c r="D128" s="196"/>
      <c r="E128" s="196"/>
      <c r="F128" s="196"/>
      <c r="G128" s="196"/>
      <c r="H128" s="196"/>
      <c r="I128" s="196"/>
    </row>
    <row r="129" spans="1:12" s="10" customFormat="1" ht="12.75" customHeight="1" x14ac:dyDescent="0.25">
      <c r="A129" s="8"/>
      <c r="B129" s="196"/>
      <c r="C129" s="196"/>
      <c r="D129" s="196"/>
      <c r="E129" s="196"/>
      <c r="F129" s="196"/>
      <c r="G129" s="198" t="s">
        <v>32</v>
      </c>
      <c r="H129" s="198" t="s">
        <v>32</v>
      </c>
      <c r="I129" s="198" t="s">
        <v>31</v>
      </c>
      <c r="J129" s="198" t="s">
        <v>31</v>
      </c>
      <c r="K129" s="198" t="s">
        <v>85</v>
      </c>
    </row>
    <row r="130" spans="1:12" s="10" customFormat="1" ht="12.75" customHeight="1" x14ac:dyDescent="0.25">
      <c r="A130" s="15" t="s">
        <v>25</v>
      </c>
      <c r="B130" s="212"/>
      <c r="C130" s="212"/>
      <c r="D130" s="22"/>
      <c r="E130" s="22"/>
      <c r="F130" s="212"/>
      <c r="G130" s="198" t="s">
        <v>44</v>
      </c>
      <c r="H130" s="199" t="s">
        <v>45</v>
      </c>
      <c r="I130" s="198" t="s">
        <v>44</v>
      </c>
      <c r="J130" s="199" t="s">
        <v>45</v>
      </c>
    </row>
    <row r="131" spans="1:12" s="10" customFormat="1" ht="12.75" customHeight="1" x14ac:dyDescent="0.25">
      <c r="A131" s="8" t="s">
        <v>8</v>
      </c>
      <c r="B131" s="197">
        <f>'[22]TB Oct 09'!E9</f>
        <v>185611365.80000001</v>
      </c>
      <c r="C131" s="197">
        <f>'[22]TB Oct 09'!E10</f>
        <v>326243675.63999999</v>
      </c>
      <c r="D131" s="197">
        <f>'[22]TB Oct 09'!E11</f>
        <v>96640155.180000007</v>
      </c>
      <c r="E131" s="197">
        <f>'[22]TB Oct 09'!E12</f>
        <v>16730409.109999999</v>
      </c>
      <c r="F131" s="195">
        <f>SUM(B131:E131)</f>
        <v>625225605.73000002</v>
      </c>
      <c r="G131" s="200">
        <f>F131</f>
        <v>625225605.73000002</v>
      </c>
      <c r="H131" s="200">
        <f>'[22]TB Oct 09'!E14</f>
        <v>625225605.73000002</v>
      </c>
      <c r="I131" s="196">
        <f t="shared" ref="I131:I139" si="43">F131</f>
        <v>625225605.73000002</v>
      </c>
      <c r="J131" s="196">
        <f>'[22]TB Oct 09'!D14</f>
        <v>625225605.73000002</v>
      </c>
      <c r="K131" s="34">
        <f>I131-J131</f>
        <v>0</v>
      </c>
      <c r="L131" s="23">
        <f>+G131-H131</f>
        <v>0</v>
      </c>
    </row>
    <row r="132" spans="1:12" s="10" customFormat="1" ht="12.75" customHeight="1" x14ac:dyDescent="0.25">
      <c r="A132" s="8" t="s">
        <v>9</v>
      </c>
      <c r="B132" s="197">
        <f>'[22]TB Oct 09'!E16</f>
        <v>59177.120000000003</v>
      </c>
      <c r="C132" s="197">
        <f>'[22]TB Oct 09'!E17</f>
        <v>85507.32</v>
      </c>
      <c r="D132" s="197">
        <f>'[22]TB Oct 09'!E18</f>
        <v>35889.11</v>
      </c>
      <c r="E132" s="197">
        <f>'[22]TB Oct 09'!E19</f>
        <v>4597.0200000000004</v>
      </c>
      <c r="F132" s="195">
        <f t="shared" ref="F132:F138" si="44">SUM(B132:E132)</f>
        <v>185170.56999999998</v>
      </c>
      <c r="G132" s="200">
        <f t="shared" ref="G132:G138" si="45">F132</f>
        <v>185170.56999999998</v>
      </c>
      <c r="H132" s="200">
        <f>'[22]TB Oct 09'!E20</f>
        <v>185170.56999999998</v>
      </c>
      <c r="I132" s="196">
        <f t="shared" si="43"/>
        <v>185170.56999999998</v>
      </c>
      <c r="J132" s="196">
        <f>'[22]TB Oct 09'!D20</f>
        <v>185170.56999999998</v>
      </c>
      <c r="K132" s="34">
        <f>I132-J132</f>
        <v>0</v>
      </c>
      <c r="L132" s="23">
        <f t="shared" ref="L132:L139" si="46">+G132-H132</f>
        <v>0</v>
      </c>
    </row>
    <row r="133" spans="1:12" s="10" customFormat="1" ht="12.75" customHeight="1" x14ac:dyDescent="0.25">
      <c r="A133" s="8" t="s">
        <v>10</v>
      </c>
      <c r="B133" s="197">
        <f>'[22]TB Oct 09'!E22</f>
        <v>85196.42</v>
      </c>
      <c r="C133" s="197">
        <f>'[22]TB Oct 09'!E23</f>
        <v>149703.49</v>
      </c>
      <c r="D133" s="197">
        <f>'[22]TB Oct 09'!E24</f>
        <v>44362.97</v>
      </c>
      <c r="E133" s="197">
        <f>'[22]TB Oct 09'!E25</f>
        <v>7690.33</v>
      </c>
      <c r="F133" s="195">
        <f t="shared" si="44"/>
        <v>286953.21000000002</v>
      </c>
      <c r="G133" s="200">
        <f t="shared" si="45"/>
        <v>286953.21000000002</v>
      </c>
      <c r="H133" s="200">
        <f>'[22]TB Oct 09'!E26</f>
        <v>286953.21000000002</v>
      </c>
      <c r="I133" s="196">
        <f t="shared" si="43"/>
        <v>286953.21000000002</v>
      </c>
      <c r="J133" s="196">
        <f>'[22]TB Oct 09'!D26</f>
        <v>286953.21000000002</v>
      </c>
      <c r="K133" s="34">
        <f t="shared" ref="K133:K139" si="47">I133-J133</f>
        <v>0</v>
      </c>
      <c r="L133" s="23">
        <f t="shared" si="46"/>
        <v>0</v>
      </c>
    </row>
    <row r="134" spans="1:12" s="10" customFormat="1" ht="12.75" customHeight="1" x14ac:dyDescent="0.25">
      <c r="A134" s="8" t="s">
        <v>11</v>
      </c>
      <c r="B134" s="197">
        <f>'[22]TB Oct 09'!E28</f>
        <v>1619.62</v>
      </c>
      <c r="C134" s="196">
        <f>'[22]TB Oct 09'!E29</f>
        <v>2845.41</v>
      </c>
      <c r="D134" s="23">
        <f>'[22]TB Oct 09'!E30</f>
        <v>843.24</v>
      </c>
      <c r="E134" s="23">
        <f>'[22]TB Oct 09'!E31</f>
        <v>146.13</v>
      </c>
      <c r="F134" s="195">
        <f t="shared" si="44"/>
        <v>5454.4</v>
      </c>
      <c r="G134" s="200">
        <f t="shared" si="45"/>
        <v>5454.4</v>
      </c>
      <c r="H134" s="200">
        <f>'[22]TB Oct 09'!E32</f>
        <v>5454.4</v>
      </c>
      <c r="I134" s="196">
        <f t="shared" si="43"/>
        <v>5454.4</v>
      </c>
      <c r="J134" s="196">
        <f>'[22]TB Oct 09'!D32</f>
        <v>5454.4</v>
      </c>
      <c r="K134" s="34">
        <f t="shared" si="47"/>
        <v>0</v>
      </c>
      <c r="L134" s="23">
        <f t="shared" si="46"/>
        <v>0</v>
      </c>
    </row>
    <row r="135" spans="1:12" s="10" customFormat="1" ht="12.75" customHeight="1" x14ac:dyDescent="0.25">
      <c r="A135" s="8" t="s">
        <v>75</v>
      </c>
      <c r="B135" s="197">
        <f>'[22]TB Oct 09'!E34</f>
        <v>628533.94999999995</v>
      </c>
      <c r="C135" s="196">
        <f>'[22]TB Oct 09'!E35</f>
        <v>520407.71</v>
      </c>
      <c r="D135" s="196">
        <f>'[22]TB Oct 09'!E36</f>
        <v>100129.2</v>
      </c>
      <c r="E135" s="196">
        <f>'[22]TB Oct 09'!E37</f>
        <v>25345.05</v>
      </c>
      <c r="F135" s="195">
        <f t="shared" si="44"/>
        <v>1274415.9099999999</v>
      </c>
      <c r="G135" s="200">
        <f t="shared" si="45"/>
        <v>1274415.9099999999</v>
      </c>
      <c r="H135" s="200">
        <f>'[22]TB Oct 09'!E38</f>
        <v>1274415.9099999999</v>
      </c>
      <c r="I135" s="196">
        <f t="shared" si="43"/>
        <v>1274415.9099999999</v>
      </c>
      <c r="J135" s="196">
        <f>'[22]TB Oct 09'!D38</f>
        <v>1274415.9099999999</v>
      </c>
      <c r="K135" s="34">
        <f t="shared" si="47"/>
        <v>0</v>
      </c>
      <c r="L135" s="23">
        <f t="shared" si="46"/>
        <v>0</v>
      </c>
    </row>
    <row r="136" spans="1:12" s="10" customFormat="1" ht="12.75" customHeight="1" x14ac:dyDescent="0.25">
      <c r="A136" s="8" t="s">
        <v>13</v>
      </c>
      <c r="B136" s="197">
        <f>'[22]TB Oct 09'!E40</f>
        <v>-307456203.58999997</v>
      </c>
      <c r="C136" s="196">
        <f>'[22]TB Oct 09'!E41</f>
        <v>-392167458</v>
      </c>
      <c r="D136" s="196">
        <f>'[22]TB Oct 09'!E42</f>
        <v>-93423660</v>
      </c>
      <c r="E136" s="196">
        <f>'[22]TB Oct 09'!E43</f>
        <v>-9504194.9000000004</v>
      </c>
      <c r="F136" s="195">
        <f t="shared" si="44"/>
        <v>-802551516.48999989</v>
      </c>
      <c r="G136" s="200">
        <f t="shared" si="45"/>
        <v>-802551516.48999989</v>
      </c>
      <c r="H136" s="200">
        <f>'[22]TB Oct 09'!E44</f>
        <v>-802551516.48999989</v>
      </c>
      <c r="I136" s="196">
        <f t="shared" si="43"/>
        <v>-802551516.48999989</v>
      </c>
      <c r="J136" s="196">
        <f>'[22]TB Oct 09'!D44</f>
        <v>-802551516.48999989</v>
      </c>
      <c r="K136" s="34">
        <f t="shared" si="47"/>
        <v>0</v>
      </c>
      <c r="L136" s="23">
        <f t="shared" si="46"/>
        <v>0</v>
      </c>
    </row>
    <row r="137" spans="1:12" s="10" customFormat="1" ht="12.75" customHeight="1" x14ac:dyDescent="0.25">
      <c r="A137" s="8" t="s">
        <v>14</v>
      </c>
      <c r="B137" s="197">
        <f>'[22]TB Oct 09'!E56</f>
        <v>-11174037.43</v>
      </c>
      <c r="C137" s="23">
        <f>'[22]TB Oct 09'!E57</f>
        <v>2029575.97</v>
      </c>
      <c r="D137" s="23">
        <f>'[22]TB Oct 09'!E58</f>
        <v>1230722.29</v>
      </c>
      <c r="E137" s="23">
        <f>'[22]TB Oct 09'!E59</f>
        <v>-1063866.6399999999</v>
      </c>
      <c r="F137" s="195">
        <f t="shared" si="44"/>
        <v>-8977605.8099999987</v>
      </c>
      <c r="G137" s="200">
        <f t="shared" si="45"/>
        <v>-8977605.8099999987</v>
      </c>
      <c r="H137" s="200">
        <f>'[22]TB Oct 09'!E60</f>
        <v>-8977605.8099999987</v>
      </c>
      <c r="I137" s="196">
        <f t="shared" si="43"/>
        <v>-8977605.8099999987</v>
      </c>
      <c r="J137" s="196">
        <f>'[22]TB Oct 09'!D60</f>
        <v>-8977605.8099999987</v>
      </c>
      <c r="K137" s="34">
        <f t="shared" si="47"/>
        <v>0</v>
      </c>
      <c r="L137" s="23">
        <f t="shared" si="46"/>
        <v>0</v>
      </c>
    </row>
    <row r="138" spans="1:12" s="10" customFormat="1" ht="12.75" customHeight="1" x14ac:dyDescent="0.25">
      <c r="A138" s="8" t="s">
        <v>15</v>
      </c>
      <c r="B138" s="197">
        <f>'[22]TB Oct 09'!E62</f>
        <v>1446055.48</v>
      </c>
      <c r="C138" s="23">
        <f>'[22]TB Oct 09'!E63</f>
        <v>90430.45</v>
      </c>
      <c r="D138" s="23">
        <f>'[22]TB Oct 09'!E64</f>
        <v>11650.9</v>
      </c>
      <c r="E138" s="23">
        <f>'[22]TB Oct 09'!E65</f>
        <v>116921.55</v>
      </c>
      <c r="F138" s="195">
        <f t="shared" si="44"/>
        <v>1665058.38</v>
      </c>
      <c r="G138" s="200">
        <f t="shared" si="45"/>
        <v>1665058.38</v>
      </c>
      <c r="H138" s="200">
        <f>'[22]TB Oct 09'!E66</f>
        <v>1665058.38</v>
      </c>
      <c r="I138" s="196">
        <f t="shared" si="43"/>
        <v>1665058.38</v>
      </c>
      <c r="J138" s="196">
        <f>'[22]TB Oct 09'!D66</f>
        <v>1665058.38</v>
      </c>
      <c r="K138" s="34">
        <f t="shared" si="47"/>
        <v>0</v>
      </c>
      <c r="L138" s="23">
        <f t="shared" si="46"/>
        <v>0</v>
      </c>
    </row>
    <row r="139" spans="1:12" s="10" customFormat="1" ht="12.75" customHeight="1" x14ac:dyDescent="0.25">
      <c r="A139" s="8" t="s">
        <v>79</v>
      </c>
      <c r="B139" s="197">
        <f>'[22]TB Oct 09'!E50</f>
        <v>0</v>
      </c>
      <c r="C139" s="197" t="e">
        <f>'[22]TB Oct 09'!F50</f>
        <v>#REF!</v>
      </c>
      <c r="D139" s="197">
        <v>0</v>
      </c>
      <c r="E139" s="197">
        <v>0</v>
      </c>
      <c r="F139" s="195">
        <v>0</v>
      </c>
      <c r="G139" s="200">
        <v>0</v>
      </c>
      <c r="H139" s="200">
        <f>[25]Report!$E$54</f>
        <v>0</v>
      </c>
      <c r="I139" s="196">
        <f t="shared" si="43"/>
        <v>0</v>
      </c>
      <c r="J139" s="196">
        <f>[25]Report!$D$54</f>
        <v>0</v>
      </c>
      <c r="K139" s="34">
        <f t="shared" si="47"/>
        <v>0</v>
      </c>
      <c r="L139" s="23">
        <f t="shared" si="46"/>
        <v>0</v>
      </c>
    </row>
    <row r="140" spans="1:12" s="199" customFormat="1" ht="12.75" customHeight="1" thickBot="1" x14ac:dyDescent="0.3">
      <c r="A140" s="205" t="s">
        <v>16</v>
      </c>
      <c r="B140" s="206">
        <f>SUM(B125,B131:B138)</f>
        <v>4962711517.0843697</v>
      </c>
      <c r="C140" s="206">
        <f>SUM(C125,C131:C138)</f>
        <v>324403949.82157558</v>
      </c>
      <c r="D140" s="206">
        <f>SUM(D125,D131:D138)</f>
        <v>20050675.706124708</v>
      </c>
      <c r="E140" s="206">
        <f>SUM(E125,E131:E138)</f>
        <v>394075601.87742329</v>
      </c>
      <c r="F140" s="206">
        <f>SUM(F125,F131:F139)</f>
        <v>5701241744.4894953</v>
      </c>
      <c r="G140" s="221">
        <f>G131+G132+G133+G134+G135+G136+G137+G138+G139</f>
        <v>-182886464.09999985</v>
      </c>
      <c r="H140" s="221">
        <f>H131+H132+H133+H134+H135+H136+H137+H138+H139</f>
        <v>-182886464.09999985</v>
      </c>
      <c r="I140" s="220">
        <f>I131+I132+I133+I134+I135+I136+I137+I138+I139</f>
        <v>-182886464.09999985</v>
      </c>
      <c r="J140" s="220">
        <f>J131+J132+J133+J134+J135+J136+J137+J138+J139</f>
        <v>-182886464.09999985</v>
      </c>
      <c r="K140" s="206">
        <f>K131+K132+K133+K134+K135+K136+K137+K138+K139</f>
        <v>0</v>
      </c>
      <c r="L140" s="23"/>
    </row>
    <row r="141" spans="1:12" s="199" customFormat="1" ht="12.75" customHeight="1" thickTop="1" x14ac:dyDescent="0.25">
      <c r="A141" s="205"/>
      <c r="B141" s="209"/>
      <c r="C141" s="209"/>
      <c r="D141" s="209"/>
      <c r="E141" s="209"/>
      <c r="F141" s="209"/>
      <c r="G141" s="209"/>
      <c r="H141" s="209"/>
      <c r="I141" s="198"/>
    </row>
    <row r="142" spans="1:12" s="199" customFormat="1" ht="12.75" customHeight="1" x14ac:dyDescent="0.25">
      <c r="A142" s="205"/>
      <c r="B142" s="209"/>
      <c r="C142" s="209"/>
      <c r="D142" s="209"/>
      <c r="E142" s="209"/>
      <c r="F142" s="209"/>
      <c r="G142" s="209"/>
      <c r="H142" s="209"/>
      <c r="I142" s="198"/>
    </row>
    <row r="143" spans="1:12" s="199" customFormat="1" ht="12.75" customHeight="1" x14ac:dyDescent="0.25">
      <c r="A143" s="205"/>
      <c r="B143" s="209"/>
      <c r="C143" s="209"/>
      <c r="D143" s="209"/>
      <c r="E143" s="209"/>
      <c r="F143" s="209"/>
      <c r="G143" s="209"/>
      <c r="H143" s="209"/>
      <c r="I143" s="198"/>
    </row>
    <row r="144" spans="1:12" s="10" customFormat="1" ht="12.75" customHeight="1" x14ac:dyDescent="0.25">
      <c r="A144" s="8"/>
      <c r="B144" s="196"/>
      <c r="C144" s="196"/>
      <c r="F144" s="196"/>
      <c r="G144" s="198" t="s">
        <v>32</v>
      </c>
      <c r="H144" s="198" t="s">
        <v>32</v>
      </c>
      <c r="I144" s="198" t="s">
        <v>31</v>
      </c>
      <c r="J144" s="198" t="s">
        <v>31</v>
      </c>
      <c r="K144" s="198" t="s">
        <v>85</v>
      </c>
    </row>
    <row r="145" spans="1:12" s="10" customFormat="1" ht="12.75" customHeight="1" x14ac:dyDescent="0.25">
      <c r="A145" s="15" t="s">
        <v>26</v>
      </c>
      <c r="B145" s="212"/>
      <c r="C145" s="212"/>
      <c r="D145" s="22"/>
      <c r="E145" s="22"/>
      <c r="F145" s="212"/>
      <c r="G145" s="198" t="s">
        <v>44</v>
      </c>
      <c r="H145" s="199" t="s">
        <v>45</v>
      </c>
      <c r="I145" s="198" t="s">
        <v>44</v>
      </c>
      <c r="J145" s="199" t="s">
        <v>45</v>
      </c>
    </row>
    <row r="146" spans="1:12" s="10" customFormat="1" ht="12.75" customHeight="1" x14ac:dyDescent="0.25">
      <c r="A146" s="8" t="s">
        <v>8</v>
      </c>
      <c r="B146" s="197">
        <f>'[22]TB Nov 09'!D9</f>
        <v>184420257.34999999</v>
      </c>
      <c r="C146" s="197">
        <f>'[22]TB Nov 09'!D10</f>
        <v>323650319.62</v>
      </c>
      <c r="D146" s="197">
        <f>'[22]TB Nov 09'!D11</f>
        <v>96129449.930000007</v>
      </c>
      <c r="E146" s="197">
        <f>'[22]TB Nov 09'!D12</f>
        <v>16611851.460000001</v>
      </c>
      <c r="F146" s="195">
        <f>SUM(B146:E146)</f>
        <v>620811878.36000013</v>
      </c>
      <c r="G146" s="197">
        <f>F146+G131</f>
        <v>1246037484.0900002</v>
      </c>
      <c r="H146" s="197">
        <f>'[22]TB Nov 09'!E14</f>
        <v>1246037484.0899999</v>
      </c>
      <c r="I146" s="196">
        <f>F146</f>
        <v>620811878.36000013</v>
      </c>
      <c r="J146" s="196">
        <f>'[22]TB Nov 09'!D14</f>
        <v>620811878.36000013</v>
      </c>
      <c r="K146" s="34">
        <f t="shared" ref="K146:K153" si="48">I146-J146</f>
        <v>0</v>
      </c>
      <c r="L146" s="23">
        <f>+G146-H146</f>
        <v>0</v>
      </c>
    </row>
    <row r="147" spans="1:12" s="10" customFormat="1" ht="12.75" customHeight="1" x14ac:dyDescent="0.25">
      <c r="A147" s="8" t="s">
        <v>9</v>
      </c>
      <c r="B147" s="197">
        <f>'[22]TB Nov 09'!D16</f>
        <v>103507.9</v>
      </c>
      <c r="C147" s="197">
        <f>'[22]TB Nov 09'!D17</f>
        <v>181964.86</v>
      </c>
      <c r="D147" s="197">
        <f>'[22]TB Nov 09'!D18</f>
        <v>53902.89</v>
      </c>
      <c r="E147" s="197">
        <f>'[22]TB Nov 09'!D19</f>
        <v>9369.1</v>
      </c>
      <c r="F147" s="195">
        <f t="shared" ref="F147:F152" si="49">SUM(B147:E147)</f>
        <v>348744.75</v>
      </c>
      <c r="G147" s="197">
        <f>F147+G132</f>
        <v>533915.31999999995</v>
      </c>
      <c r="H147" s="197">
        <f>'[22]TB Nov 09'!E20</f>
        <v>533915.31999999995</v>
      </c>
      <c r="I147" s="196">
        <f t="shared" ref="I147:I154" si="50">F147</f>
        <v>348744.75</v>
      </c>
      <c r="J147" s="196">
        <f>'[22]TB Nov 09'!D20</f>
        <v>348744.75</v>
      </c>
      <c r="K147" s="34">
        <f t="shared" si="48"/>
        <v>0</v>
      </c>
      <c r="L147" s="23">
        <f t="shared" ref="L147:L155" si="51">+G147-H147</f>
        <v>0</v>
      </c>
    </row>
    <row r="148" spans="1:12" s="10" customFormat="1" ht="12.75" customHeight="1" x14ac:dyDescent="0.25">
      <c r="A148" s="8" t="s">
        <v>10</v>
      </c>
      <c r="B148" s="197">
        <f>'[22]TB Nov 09'!D22</f>
        <v>61665.35</v>
      </c>
      <c r="C148" s="197">
        <f>'[22]TB Nov 09'!D23</f>
        <v>108355.69</v>
      </c>
      <c r="D148" s="196">
        <f>'[22]TB Nov 09'!D24</f>
        <v>32109.99</v>
      </c>
      <c r="E148" s="196">
        <f>'[22]TB Nov 09'!D25</f>
        <v>5566.3</v>
      </c>
      <c r="F148" s="195">
        <f t="shared" si="49"/>
        <v>207697.33</v>
      </c>
      <c r="G148" s="197">
        <f t="shared" ref="G148:G154" si="52">F148+G133</f>
        <v>494650.54000000004</v>
      </c>
      <c r="H148" s="196">
        <f>'[22]TB Nov 09'!E26</f>
        <v>494650.54</v>
      </c>
      <c r="I148" s="196">
        <f t="shared" si="50"/>
        <v>207697.33</v>
      </c>
      <c r="J148" s="196">
        <f>'[22]TB Nov 09'!D26</f>
        <v>207697.33</v>
      </c>
      <c r="K148" s="34">
        <f t="shared" si="48"/>
        <v>0</v>
      </c>
      <c r="L148" s="23">
        <f t="shared" si="51"/>
        <v>0</v>
      </c>
    </row>
    <row r="149" spans="1:12" s="10" customFormat="1" ht="12.75" customHeight="1" x14ac:dyDescent="0.25">
      <c r="A149" s="8" t="s">
        <v>11</v>
      </c>
      <c r="B149" s="196">
        <f>'[22]TB Nov 09'!D28</f>
        <v>0</v>
      </c>
      <c r="C149" s="196">
        <f>'[22]TB Nov 09'!D29</f>
        <v>0</v>
      </c>
      <c r="D149" s="196">
        <f>'[22]TB Nov 09'!D30</f>
        <v>0</v>
      </c>
      <c r="E149" s="196">
        <f>'[22]TB Nov 09'!D31</f>
        <v>0</v>
      </c>
      <c r="F149" s="195">
        <f t="shared" si="49"/>
        <v>0</v>
      </c>
      <c r="G149" s="197">
        <f t="shared" si="52"/>
        <v>5454.4</v>
      </c>
      <c r="H149" s="196">
        <f>'[22]TB Nov 09'!E32</f>
        <v>5454.4</v>
      </c>
      <c r="I149" s="196">
        <f t="shared" si="50"/>
        <v>0</v>
      </c>
      <c r="J149" s="196">
        <f>'[22]TB Nov 09'!D32</f>
        <v>0</v>
      </c>
      <c r="K149" s="34">
        <f t="shared" si="48"/>
        <v>0</v>
      </c>
      <c r="L149" s="23">
        <f t="shared" si="51"/>
        <v>0</v>
      </c>
    </row>
    <row r="150" spans="1:12" s="10" customFormat="1" ht="12.75" customHeight="1" x14ac:dyDescent="0.25">
      <c r="A150" s="8" t="s">
        <v>12</v>
      </c>
      <c r="B150" s="196">
        <f>'[22]TB Nov 09'!D34</f>
        <v>226571.73</v>
      </c>
      <c r="C150" s="196">
        <f>'[22]TB Nov 09'!D35</f>
        <v>200960.65</v>
      </c>
      <c r="D150" s="196">
        <f>'[22]TB Nov 09'!D36</f>
        <v>84685.56</v>
      </c>
      <c r="E150" s="196">
        <f>'[22]TB Nov 09'!D37</f>
        <v>10935.06</v>
      </c>
      <c r="F150" s="195">
        <f t="shared" si="49"/>
        <v>523153</v>
      </c>
      <c r="G150" s="197">
        <f t="shared" si="52"/>
        <v>1797568.91</v>
      </c>
      <c r="H150" s="196">
        <f>'[22]TB Nov 09'!E38</f>
        <v>1797568.9100000001</v>
      </c>
      <c r="I150" s="196">
        <f t="shared" si="50"/>
        <v>523153</v>
      </c>
      <c r="J150" s="196">
        <f>'[22]TB Nov 09'!D38</f>
        <v>523153</v>
      </c>
      <c r="K150" s="34">
        <f t="shared" si="48"/>
        <v>0</v>
      </c>
      <c r="L150" s="23">
        <f t="shared" si="51"/>
        <v>0</v>
      </c>
    </row>
    <row r="151" spans="1:12" s="10" customFormat="1" ht="12.75" customHeight="1" x14ac:dyDescent="0.25">
      <c r="A151" s="8" t="s">
        <v>13</v>
      </c>
      <c r="B151" s="196">
        <f>'[22]TB Nov 09'!D40</f>
        <v>-164907485.94999999</v>
      </c>
      <c r="C151" s="196">
        <f>'[22]TB Nov 09'!D41</f>
        <v>-379545750</v>
      </c>
      <c r="D151" s="196">
        <f>'[22]TB Nov 09'!D42</f>
        <v>-94985945</v>
      </c>
      <c r="E151" s="196">
        <f>'[22]TB Nov 09'!D43</f>
        <v>-4406280.8899999997</v>
      </c>
      <c r="F151" s="195">
        <f t="shared" si="49"/>
        <v>-643845461.84000003</v>
      </c>
      <c r="G151" s="197">
        <f t="shared" si="52"/>
        <v>-1446396978.3299999</v>
      </c>
      <c r="H151" s="196">
        <f>'[22]TB Nov 09'!E44</f>
        <v>-1446396978.3299999</v>
      </c>
      <c r="I151" s="196">
        <f t="shared" si="50"/>
        <v>-643845461.84000003</v>
      </c>
      <c r="J151" s="196">
        <f>'[22]TB Nov 09'!D44</f>
        <v>-643845461.84000003</v>
      </c>
      <c r="K151" s="34">
        <f t="shared" si="48"/>
        <v>0</v>
      </c>
      <c r="L151" s="23">
        <f t="shared" si="51"/>
        <v>0</v>
      </c>
    </row>
    <row r="152" spans="1:12" s="10" customFormat="1" ht="12.75" customHeight="1" x14ac:dyDescent="0.25">
      <c r="A152" s="8" t="s">
        <v>14</v>
      </c>
      <c r="B152" s="23">
        <f>'[22]TB Nov 09'!D56</f>
        <v>-2856696.33</v>
      </c>
      <c r="C152" s="196">
        <f>'[22]TB Nov 09'!D57</f>
        <v>-5018736.13</v>
      </c>
      <c r="D152" s="196">
        <f>'[22]TB Nov 09'!D58</f>
        <v>-1487316.91</v>
      </c>
      <c r="E152" s="196">
        <f>'[22]TB Nov 09'!D59</f>
        <v>-257732.71</v>
      </c>
      <c r="F152" s="195">
        <f t="shared" si="49"/>
        <v>-9620482.0800000001</v>
      </c>
      <c r="G152" s="197">
        <f t="shared" si="52"/>
        <v>-18598087.890000001</v>
      </c>
      <c r="H152" s="196">
        <f>'[22]TB Nov 09'!E60</f>
        <v>-18598087.890000004</v>
      </c>
      <c r="I152" s="196">
        <f t="shared" si="50"/>
        <v>-9620482.0800000001</v>
      </c>
      <c r="J152" s="196">
        <f>'[22]TB Nov 09'!D60</f>
        <v>-9620482.0800000001</v>
      </c>
      <c r="K152" s="34">
        <f t="shared" si="48"/>
        <v>0</v>
      </c>
      <c r="L152" s="23">
        <f t="shared" si="51"/>
        <v>0</v>
      </c>
    </row>
    <row r="153" spans="1:12" s="10" customFormat="1" ht="12.75" customHeight="1" x14ac:dyDescent="0.25">
      <c r="A153" s="8" t="s">
        <v>15</v>
      </c>
      <c r="B153" s="61">
        <f>'[22]TB Nov 09'!D62</f>
        <v>1269845.45</v>
      </c>
      <c r="C153" s="196">
        <f>'[22]TB Nov 09'!D63</f>
        <v>69177.86</v>
      </c>
      <c r="D153" s="61">
        <f>'[22]TB Nov 09'!D64</f>
        <v>7777.02</v>
      </c>
      <c r="E153" s="61">
        <f>'[22]TB Nov 09'!D65</f>
        <v>110425</v>
      </c>
      <c r="F153" s="195">
        <f>SUM(B153:E153)</f>
        <v>1457225.33</v>
      </c>
      <c r="G153" s="197">
        <f t="shared" si="52"/>
        <v>3122283.71</v>
      </c>
      <c r="H153" s="197">
        <f>'[22]TB Nov 09'!E66</f>
        <v>3122283.71</v>
      </c>
      <c r="I153" s="196">
        <f t="shared" si="50"/>
        <v>1457225.33</v>
      </c>
      <c r="J153" s="196">
        <f>'[22]TB Nov 09'!D66</f>
        <v>1457225.33</v>
      </c>
      <c r="K153" s="34">
        <f t="shared" si="48"/>
        <v>0</v>
      </c>
      <c r="L153" s="23">
        <f t="shared" si="51"/>
        <v>0</v>
      </c>
    </row>
    <row r="154" spans="1:12" s="10" customFormat="1" ht="12.75" customHeight="1" x14ac:dyDescent="0.25">
      <c r="A154" s="8" t="s">
        <v>79</v>
      </c>
      <c r="B154" s="61">
        <f>'[22]TB Nov 09'!D50</f>
        <v>0</v>
      </c>
      <c r="C154" s="61">
        <f>'[22]TB Nov 09'!E50</f>
        <v>0</v>
      </c>
      <c r="D154" s="61">
        <v>0</v>
      </c>
      <c r="E154" s="61">
        <v>0</v>
      </c>
      <c r="F154" s="61"/>
      <c r="G154" s="197">
        <f t="shared" si="52"/>
        <v>0</v>
      </c>
      <c r="H154" s="197">
        <f>[26]Report!$E$54</f>
        <v>0</v>
      </c>
      <c r="I154" s="196">
        <f t="shared" si="50"/>
        <v>0</v>
      </c>
      <c r="J154" s="196">
        <f>[26]Report!$D$54</f>
        <v>0</v>
      </c>
      <c r="K154" s="34">
        <f>I154-J154</f>
        <v>0</v>
      </c>
      <c r="L154" s="23">
        <f t="shared" si="51"/>
        <v>0</v>
      </c>
    </row>
    <row r="155" spans="1:12" s="199" customFormat="1" ht="12.75" customHeight="1" thickBot="1" x14ac:dyDescent="0.3">
      <c r="A155" s="205" t="s">
        <v>16</v>
      </c>
      <c r="B155" s="206">
        <f>SUM(B140:B153)</f>
        <v>4981029182.5843697</v>
      </c>
      <c r="C155" s="206">
        <f>SUM(C140:C153)</f>
        <v>264050242.37157559</v>
      </c>
      <c r="D155" s="206">
        <f>SUM(D140:D153)</f>
        <v>19885339.186124712</v>
      </c>
      <c r="E155" s="206">
        <f>SUM(E140:E153)</f>
        <v>406159735.19742334</v>
      </c>
      <c r="F155" s="206">
        <f>SUM(B155:E155)</f>
        <v>5671124499.3394928</v>
      </c>
      <c r="G155" s="221">
        <f>G146+G147+G148+G149+G150+G151+G152+G153+G154</f>
        <v>-213003709.24999967</v>
      </c>
      <c r="H155" s="221">
        <f>H146+H147+H148+H149+H150+H151+H152+H153+H154</f>
        <v>-213003709.24999994</v>
      </c>
      <c r="I155" s="220">
        <f>I146+I147+I148+I149+I150+I151+I152+I153+I154</f>
        <v>-30117245.149999857</v>
      </c>
      <c r="J155" s="220">
        <f>J146+J147+J148+J149+J150+J151+J152+J153+J154</f>
        <v>-30117245.149999857</v>
      </c>
      <c r="K155" s="198">
        <f>SUM(K146:K153)</f>
        <v>0</v>
      </c>
      <c r="L155" s="23">
        <f t="shared" si="51"/>
        <v>2.6822090148925781E-7</v>
      </c>
    </row>
    <row r="156" spans="1:12" s="199" customFormat="1" ht="12.75" customHeight="1" thickTop="1" x14ac:dyDescent="0.25">
      <c r="A156" s="205"/>
      <c r="B156" s="209"/>
      <c r="C156" s="209"/>
      <c r="D156" s="209"/>
      <c r="E156" s="209"/>
      <c r="F156" s="195"/>
      <c r="G156" s="195"/>
      <c r="H156" s="195"/>
      <c r="I156" s="198"/>
      <c r="J156" s="198"/>
      <c r="K156" s="189"/>
    </row>
    <row r="157" spans="1:12" s="199" customFormat="1" ht="12.75" customHeight="1" x14ac:dyDescent="0.25">
      <c r="A157" s="205"/>
      <c r="B157" s="209"/>
      <c r="C157" s="209"/>
      <c r="D157" s="209"/>
      <c r="E157" s="209"/>
      <c r="F157" s="195"/>
      <c r="G157" s="195"/>
      <c r="H157" s="195"/>
      <c r="I157" s="198"/>
      <c r="J157" s="198"/>
      <c r="K157" s="189"/>
    </row>
    <row r="158" spans="1:12" s="199" customFormat="1" ht="12.75" customHeight="1" x14ac:dyDescent="0.25">
      <c r="A158" s="205"/>
      <c r="B158" s="209"/>
      <c r="C158" s="209"/>
      <c r="D158" s="209"/>
      <c r="E158" s="209"/>
      <c r="F158" s="195"/>
      <c r="G158" s="195"/>
      <c r="H158" s="195"/>
      <c r="I158" s="198"/>
      <c r="J158" s="198"/>
      <c r="K158" s="189"/>
    </row>
    <row r="159" spans="1:12" s="10" customFormat="1" ht="12.75" customHeight="1" x14ac:dyDescent="0.25">
      <c r="A159" s="8"/>
      <c r="B159" s="196"/>
      <c r="C159" s="196"/>
      <c r="F159" s="196"/>
      <c r="G159" s="198" t="s">
        <v>32</v>
      </c>
      <c r="H159" s="198" t="s">
        <v>32</v>
      </c>
      <c r="I159" s="198" t="s">
        <v>31</v>
      </c>
      <c r="J159" s="198" t="s">
        <v>31</v>
      </c>
      <c r="K159" s="198" t="s">
        <v>85</v>
      </c>
    </row>
    <row r="160" spans="1:12" s="10" customFormat="1" ht="12.75" customHeight="1" x14ac:dyDescent="0.25">
      <c r="A160" s="15" t="s">
        <v>54</v>
      </c>
      <c r="B160" s="212"/>
      <c r="C160" s="212"/>
      <c r="D160" s="22"/>
      <c r="E160" s="22"/>
      <c r="F160" s="212"/>
      <c r="G160" s="198" t="s">
        <v>44</v>
      </c>
      <c r="H160" s="199" t="s">
        <v>45</v>
      </c>
      <c r="I160" s="198" t="s">
        <v>44</v>
      </c>
      <c r="J160" s="199" t="s">
        <v>45</v>
      </c>
    </row>
    <row r="161" spans="1:12" s="10" customFormat="1" ht="12.75" customHeight="1" x14ac:dyDescent="0.25">
      <c r="A161" s="8" t="s">
        <v>8</v>
      </c>
      <c r="B161" s="197">
        <f>[27]Report!$D$9</f>
        <v>184187556.27000001</v>
      </c>
      <c r="C161" s="197">
        <f>[27]Report!$D$10</f>
        <v>323261233.02999997</v>
      </c>
      <c r="D161" s="197">
        <f>[27]Report!$D$11</f>
        <v>96043842.390000001</v>
      </c>
      <c r="E161" s="197">
        <f>[27]Report!$D$12</f>
        <v>16597696.42</v>
      </c>
      <c r="F161" s="195">
        <f>SUM(B161:E161)</f>
        <v>620090328.1099999</v>
      </c>
      <c r="G161" s="197">
        <f>SUM(G146,F161)</f>
        <v>1866127812.2</v>
      </c>
      <c r="H161" s="224">
        <f>[27]Report!$E$14</f>
        <v>1866127812.2</v>
      </c>
      <c r="I161" s="224">
        <f>F161</f>
        <v>620090328.1099999</v>
      </c>
      <c r="J161" s="224">
        <f>[27]Report!$D$14</f>
        <v>620090328.1099999</v>
      </c>
      <c r="K161" s="34">
        <f t="shared" ref="K161:K168" si="53">I161-J161</f>
        <v>0</v>
      </c>
      <c r="L161" s="23">
        <f>G161-H161</f>
        <v>0</v>
      </c>
    </row>
    <row r="162" spans="1:12" s="10" customFormat="1" ht="12.75" customHeight="1" x14ac:dyDescent="0.25">
      <c r="A162" s="8" t="s">
        <v>9</v>
      </c>
      <c r="B162" s="197">
        <f>'[22]TB Dec 09'!D16</f>
        <v>148543.26999999999</v>
      </c>
      <c r="C162" s="197">
        <f>'[22]TB Dec 09'!D17</f>
        <v>261150.33</v>
      </c>
      <c r="D162" s="197">
        <f>'[22]TB Dec 09'!D18</f>
        <v>77344.02</v>
      </c>
      <c r="E162" s="197">
        <f>'[22]TB Dec 09'!D19</f>
        <v>13310.05</v>
      </c>
      <c r="F162" s="195">
        <f t="shared" ref="F162:F168" si="54">SUM(B162:E162)</f>
        <v>500347.67</v>
      </c>
      <c r="G162" s="197">
        <f t="shared" ref="G162:G168" si="55">SUM(G147,F162)</f>
        <v>1034262.99</v>
      </c>
      <c r="H162" s="224">
        <f>'[22]TB Dec 09'!E20</f>
        <v>1034262.9900000001</v>
      </c>
      <c r="I162" s="224">
        <f t="shared" ref="I162:I168" si="56">F162</f>
        <v>500347.67</v>
      </c>
      <c r="J162" s="224">
        <f>[28]Report!$D$20</f>
        <v>500347.67</v>
      </c>
      <c r="K162" s="34">
        <f t="shared" si="53"/>
        <v>0</v>
      </c>
      <c r="L162" s="23">
        <f t="shared" ref="L162:L168" si="57">G162-H162</f>
        <v>0</v>
      </c>
    </row>
    <row r="163" spans="1:12" s="10" customFormat="1" ht="12.75" customHeight="1" x14ac:dyDescent="0.25">
      <c r="A163" s="8" t="s">
        <v>10</v>
      </c>
      <c r="B163" s="197">
        <f>'[22]TB Dec 09'!D22</f>
        <v>63023</v>
      </c>
      <c r="C163" s="197">
        <f>'[22]TB Dec 09'!D23</f>
        <v>110741.35</v>
      </c>
      <c r="D163" s="197">
        <f>'[22]TB Dec 09'!D24</f>
        <v>32816.99</v>
      </c>
      <c r="E163" s="197">
        <f>'[22]TB Dec 09'!D25</f>
        <v>5688.83</v>
      </c>
      <c r="F163" s="195">
        <f t="shared" si="54"/>
        <v>212270.16999999998</v>
      </c>
      <c r="G163" s="197">
        <f t="shared" si="55"/>
        <v>706920.71</v>
      </c>
      <c r="H163" s="224">
        <f>'[22]TB Dec 09'!E26</f>
        <v>706920.71</v>
      </c>
      <c r="I163" s="224">
        <f t="shared" si="56"/>
        <v>212270.16999999998</v>
      </c>
      <c r="J163" s="224">
        <f>[28]Report!$D$26</f>
        <v>212270.16999999998</v>
      </c>
      <c r="K163" s="34">
        <f t="shared" si="53"/>
        <v>0</v>
      </c>
      <c r="L163" s="23">
        <f t="shared" si="57"/>
        <v>0</v>
      </c>
    </row>
    <row r="164" spans="1:12" s="10" customFormat="1" ht="12.75" customHeight="1" x14ac:dyDescent="0.25">
      <c r="A164" s="8" t="s">
        <v>11</v>
      </c>
      <c r="B164" s="197">
        <f>'[22]TB Dec 09'!D28</f>
        <v>0</v>
      </c>
      <c r="C164" s="197">
        <f>'[22]TB Dec 09'!D29</f>
        <v>0</v>
      </c>
      <c r="D164" s="197">
        <f>'[22]TB Dec 09'!D30</f>
        <v>0</v>
      </c>
      <c r="E164" s="197">
        <f>'[22]TB Dec 09'!D31</f>
        <v>0</v>
      </c>
      <c r="F164" s="195">
        <f t="shared" si="54"/>
        <v>0</v>
      </c>
      <c r="G164" s="197">
        <f t="shared" si="55"/>
        <v>5454.4</v>
      </c>
      <c r="H164" s="224">
        <f>[28]Report!$E$32</f>
        <v>5454.4</v>
      </c>
      <c r="I164" s="224">
        <f t="shared" si="56"/>
        <v>0</v>
      </c>
      <c r="J164" s="224">
        <f>'[22]TB Dec 08'!D32</f>
        <v>0</v>
      </c>
      <c r="K164" s="34">
        <f t="shared" si="53"/>
        <v>0</v>
      </c>
      <c r="L164" s="23">
        <f t="shared" si="57"/>
        <v>0</v>
      </c>
    </row>
    <row r="165" spans="1:12" s="10" customFormat="1" ht="12.75" customHeight="1" x14ac:dyDescent="0.25">
      <c r="A165" s="8" t="s">
        <v>12</v>
      </c>
      <c r="B165" s="197">
        <f>'[22]TB Dec 09'!D34</f>
        <v>-1891042.32</v>
      </c>
      <c r="C165" s="197">
        <f>'[22]TB Dec 09'!D35</f>
        <v>-3775090.79</v>
      </c>
      <c r="D165" s="197">
        <f>'[22]TB Dec 09'!D36</f>
        <v>-556953.15</v>
      </c>
      <c r="E165" s="197">
        <f>'[22]TB Dec 09'!D37</f>
        <v>-193904.93</v>
      </c>
      <c r="F165" s="195">
        <f t="shared" si="54"/>
        <v>-6416991.1900000004</v>
      </c>
      <c r="G165" s="197">
        <f>SUM(G150,F165)</f>
        <v>-4619422.28</v>
      </c>
      <c r="H165" s="224">
        <f>'[22]TB Dec 09'!E38</f>
        <v>-4619422.28</v>
      </c>
      <c r="I165" s="224">
        <f t="shared" si="56"/>
        <v>-6416991.1900000004</v>
      </c>
      <c r="J165" s="224">
        <f>'[22]TB Dec 09'!D38</f>
        <v>-6416991.1900000004</v>
      </c>
      <c r="K165" s="34">
        <f t="shared" si="53"/>
        <v>0</v>
      </c>
      <c r="L165" s="23">
        <f t="shared" si="57"/>
        <v>0</v>
      </c>
    </row>
    <row r="166" spans="1:12" s="10" customFormat="1" ht="12.75" customHeight="1" x14ac:dyDescent="0.25">
      <c r="A166" s="8" t="s">
        <v>13</v>
      </c>
      <c r="B166" s="197">
        <f>[27]Report!$D$40</f>
        <v>-101992218.39</v>
      </c>
      <c r="C166" s="197">
        <f>[27]Report!$D$41</f>
        <v>-388317084</v>
      </c>
      <c r="D166" s="197">
        <f>[27]Report!$D$42</f>
        <v>-100785673.34</v>
      </c>
      <c r="E166" s="197">
        <f>[27]Report!$D$43</f>
        <v>-7415742.46</v>
      </c>
      <c r="F166" s="195">
        <f t="shared" si="54"/>
        <v>-598510718.19000006</v>
      </c>
      <c r="G166" s="197">
        <f>SUM(G151,F166)</f>
        <v>-2044907696.52</v>
      </c>
      <c r="H166" s="224">
        <f>'[22]TB Dec 09'!E44</f>
        <v>-2044907696.5199997</v>
      </c>
      <c r="I166" s="224">
        <f t="shared" si="56"/>
        <v>-598510718.19000006</v>
      </c>
      <c r="J166" s="224">
        <f>[28]Report!$D$44</f>
        <v>-598510718.19000006</v>
      </c>
      <c r="K166" s="34">
        <f t="shared" si="53"/>
        <v>0</v>
      </c>
      <c r="L166" s="23">
        <f t="shared" si="57"/>
        <v>0</v>
      </c>
    </row>
    <row r="167" spans="1:12" s="10" customFormat="1" ht="12.75" customHeight="1" x14ac:dyDescent="0.25">
      <c r="A167" s="8" t="s">
        <v>14</v>
      </c>
      <c r="B167" s="202">
        <f>'[22]TB Dec 09'!D56</f>
        <v>-4507861.8099999996</v>
      </c>
      <c r="C167" s="202">
        <f>'[22]TB Dec 09'!D57</f>
        <v>1360930.46</v>
      </c>
      <c r="D167" s="202">
        <f>'[22]TB Dec 09'!D58</f>
        <v>592277.15</v>
      </c>
      <c r="E167" s="202">
        <f>'[22]TB Dec 09'!D59</f>
        <v>-698222.62</v>
      </c>
      <c r="F167" s="195">
        <f t="shared" si="54"/>
        <v>-3252876.82</v>
      </c>
      <c r="G167" s="197">
        <f t="shared" si="55"/>
        <v>-21850964.710000001</v>
      </c>
      <c r="H167" s="225">
        <f>'[22]TB Dec 09'!E60</f>
        <v>-21850964.709999997</v>
      </c>
      <c r="I167" s="224">
        <f>F167</f>
        <v>-3252876.82</v>
      </c>
      <c r="J167" s="224">
        <f>'[22]TB Dec 09'!D60</f>
        <v>-3252876.82</v>
      </c>
      <c r="K167" s="34">
        <f t="shared" si="53"/>
        <v>0</v>
      </c>
      <c r="L167" s="23">
        <f t="shared" si="57"/>
        <v>0</v>
      </c>
    </row>
    <row r="168" spans="1:12" s="10" customFormat="1" ht="12.75" customHeight="1" x14ac:dyDescent="0.25">
      <c r="A168" s="8" t="s">
        <v>15</v>
      </c>
      <c r="B168" s="62">
        <f>'[22]TB Dec 09'!D62</f>
        <v>1237912.99</v>
      </c>
      <c r="C168" s="196">
        <f>'[22]TB Dec 09'!D63</f>
        <v>49318.02</v>
      </c>
      <c r="D168" s="226">
        <f>'[22]TB Dec 09'!D64</f>
        <v>6249.04</v>
      </c>
      <c r="E168" s="226">
        <f>'[22]TB Dec 09'!D65</f>
        <v>114002.74</v>
      </c>
      <c r="F168" s="195">
        <f t="shared" si="54"/>
        <v>1407482.79</v>
      </c>
      <c r="G168" s="197">
        <f t="shared" si="55"/>
        <v>4529766.5</v>
      </c>
      <c r="H168" s="224">
        <f>[28]Report!$E$66</f>
        <v>4529766.5</v>
      </c>
      <c r="I168" s="224">
        <f t="shared" si="56"/>
        <v>1407482.79</v>
      </c>
      <c r="J168" s="224">
        <f>[28]Report!$D$66</f>
        <v>1407482.79</v>
      </c>
      <c r="K168" s="34">
        <f t="shared" si="53"/>
        <v>0</v>
      </c>
      <c r="L168" s="23">
        <f t="shared" si="57"/>
        <v>0</v>
      </c>
    </row>
    <row r="169" spans="1:12" s="199" customFormat="1" ht="12.75" customHeight="1" thickBot="1" x14ac:dyDescent="0.3">
      <c r="A169" s="205" t="s">
        <v>16</v>
      </c>
      <c r="B169" s="206">
        <f>SUM(B155:B168)</f>
        <v>5058275095.5943699</v>
      </c>
      <c r="C169" s="206">
        <f>SUM(C155:C168)</f>
        <v>197001440.77157569</v>
      </c>
      <c r="D169" s="206">
        <f>SUM(D155:D168)</f>
        <v>15295242.286124693</v>
      </c>
      <c r="E169" s="206">
        <f>SUM(E155:E168)</f>
        <v>414582563.22742337</v>
      </c>
      <c r="F169" s="207">
        <f>SUM(B169:E169)</f>
        <v>5685154341.8794937</v>
      </c>
      <c r="G169" s="221">
        <f>SUM(G161:G168)</f>
        <v>-198973866.70999977</v>
      </c>
      <c r="H169" s="221">
        <f>SUM(H161:H168)</f>
        <v>-198973866.70999953</v>
      </c>
      <c r="I169" s="220">
        <f>SUM(I161:I168)</f>
        <v>14029842.539999694</v>
      </c>
      <c r="J169" s="220">
        <f>SUM(J161:J168)</f>
        <v>14029842.539999694</v>
      </c>
      <c r="K169" s="221">
        <f>SUM(K161:K168)</f>
        <v>0</v>
      </c>
      <c r="L169" s="23"/>
    </row>
    <row r="170" spans="1:12" s="10" customFormat="1" ht="12.75" customHeight="1" thickTop="1" x14ac:dyDescent="0.25">
      <c r="A170" s="27"/>
      <c r="B170" s="28"/>
      <c r="C170" s="197"/>
      <c r="D170" s="28"/>
      <c r="E170" s="28"/>
      <c r="F170" s="197"/>
      <c r="G170" s="197"/>
      <c r="H170" s="197"/>
      <c r="I170" s="196"/>
      <c r="K170" s="198"/>
    </row>
    <row r="171" spans="1:12" s="28" customFormat="1" ht="12.75" customHeight="1" x14ac:dyDescent="0.25">
      <c r="A171" s="8"/>
      <c r="B171" s="197"/>
      <c r="C171" s="197"/>
      <c r="D171" s="197"/>
      <c r="E171" s="197"/>
      <c r="F171" s="197"/>
      <c r="G171" s="200"/>
      <c r="H171" s="200"/>
      <c r="I171" s="210"/>
    </row>
    <row r="172" spans="1:12" s="10" customFormat="1" ht="12.75" customHeight="1" x14ac:dyDescent="0.25">
      <c r="A172" s="8"/>
      <c r="B172" s="197"/>
      <c r="C172" s="197"/>
      <c r="D172" s="196"/>
      <c r="E172" s="196"/>
      <c r="F172" s="197"/>
      <c r="G172" s="200"/>
      <c r="H172" s="200"/>
      <c r="I172" s="188"/>
    </row>
    <row r="173" spans="1:12" s="10" customFormat="1" ht="12.75" customHeight="1" x14ac:dyDescent="0.25">
      <c r="A173" s="8"/>
      <c r="B173" s="197"/>
      <c r="C173" s="197"/>
      <c r="D173" s="196"/>
      <c r="E173" s="196"/>
      <c r="F173" s="197"/>
      <c r="G173" s="210"/>
      <c r="H173" s="210"/>
      <c r="I173" s="210"/>
    </row>
    <row r="174" spans="1:12" s="10" customFormat="1" ht="12.75" customHeight="1" x14ac:dyDescent="0.25">
      <c r="A174" s="8"/>
      <c r="C174" s="196"/>
      <c r="F174" s="197"/>
      <c r="G174" s="200"/>
      <c r="H174" s="200"/>
      <c r="I174" s="188"/>
    </row>
    <row r="175" spans="1:12" s="10" customFormat="1" ht="12.75" customHeight="1" x14ac:dyDescent="0.25">
      <c r="A175" s="8"/>
      <c r="C175" s="196"/>
      <c r="F175" s="197"/>
      <c r="G175" s="210"/>
      <c r="H175" s="210"/>
      <c r="I175" s="210"/>
    </row>
    <row r="176" spans="1:12" s="10" customFormat="1" ht="12.75" customHeight="1" x14ac:dyDescent="0.25">
      <c r="A176" s="8"/>
      <c r="C176" s="196"/>
      <c r="F176" s="197"/>
      <c r="G176" s="197"/>
      <c r="H176" s="197"/>
    </row>
    <row r="177" spans="1:9" s="10" customFormat="1" ht="12.75" customHeight="1" x14ac:dyDescent="0.25">
      <c r="A177" s="8"/>
      <c r="C177" s="196"/>
      <c r="F177" s="184"/>
      <c r="G177" s="197"/>
      <c r="H177" s="197"/>
      <c r="I177" s="76"/>
    </row>
    <row r="178" spans="1:9" s="10" customFormat="1" ht="12.75" customHeight="1" x14ac:dyDescent="0.25">
      <c r="A178" s="8"/>
      <c r="C178" s="196"/>
      <c r="F178" s="197"/>
      <c r="G178" s="197"/>
      <c r="H178" s="197"/>
    </row>
    <row r="179" spans="1:9" s="10" customFormat="1" ht="12.75" customHeight="1" x14ac:dyDescent="0.25">
      <c r="A179" s="8"/>
      <c r="C179" s="196"/>
      <c r="F179" s="197"/>
      <c r="G179" s="197"/>
      <c r="H179" s="197"/>
    </row>
    <row r="180" spans="1:9" ht="12.75" customHeight="1" x14ac:dyDescent="0.25">
      <c r="A180" s="8"/>
      <c r="B180" s="10"/>
      <c r="C180" s="196"/>
      <c r="D180" s="10"/>
      <c r="E180" s="10"/>
      <c r="F180" s="197"/>
      <c r="G180" s="197"/>
      <c r="H180" s="197"/>
    </row>
    <row r="181" spans="1:9" ht="12.75" customHeight="1" x14ac:dyDescent="0.25">
      <c r="A181" s="8"/>
      <c r="B181" s="10"/>
      <c r="C181" s="196"/>
      <c r="D181" s="10"/>
      <c r="E181" s="10"/>
      <c r="F181" s="23"/>
      <c r="G181" s="23"/>
      <c r="H181" s="23"/>
    </row>
    <row r="182" spans="1:9" ht="12.75" customHeight="1" x14ac:dyDescent="0.25">
      <c r="A182" s="8"/>
      <c r="B182" s="10"/>
      <c r="C182" s="196"/>
      <c r="D182" s="10"/>
      <c r="E182" s="10"/>
      <c r="F182" s="10"/>
    </row>
    <row r="183" spans="1:9" ht="12.75" customHeight="1" x14ac:dyDescent="0.25">
      <c r="A183" s="8"/>
      <c r="B183" s="10"/>
      <c r="C183" s="196"/>
      <c r="D183" s="10"/>
      <c r="E183" s="10"/>
      <c r="F183" s="10"/>
    </row>
    <row r="184" spans="1:9" ht="12.75" customHeight="1" x14ac:dyDescent="0.25">
      <c r="A184" s="8"/>
      <c r="B184" s="10"/>
      <c r="C184" s="196"/>
      <c r="D184" s="10"/>
      <c r="E184" s="10"/>
      <c r="F184" s="10"/>
    </row>
    <row r="185" spans="1:9" ht="12.75" customHeight="1" x14ac:dyDescent="0.25">
      <c r="A185" s="8"/>
      <c r="B185" s="10"/>
      <c r="C185" s="196"/>
      <c r="D185" s="10"/>
      <c r="E185" s="10"/>
      <c r="F185" s="10"/>
    </row>
    <row r="186" spans="1:9" ht="12.75" customHeight="1" x14ac:dyDescent="0.25">
      <c r="A186" s="8"/>
      <c r="B186" s="10"/>
      <c r="C186" s="196"/>
      <c r="D186" s="10"/>
      <c r="E186" s="10"/>
      <c r="F186" s="10"/>
    </row>
    <row r="187" spans="1:9" ht="12.75" customHeight="1" x14ac:dyDescent="0.25">
      <c r="A187" s="8"/>
      <c r="B187" s="10"/>
      <c r="C187" s="196"/>
      <c r="D187" s="10"/>
      <c r="E187" s="10"/>
      <c r="F187" s="10"/>
    </row>
    <row r="188" spans="1:9" ht="12.75" customHeight="1" x14ac:dyDescent="0.25">
      <c r="A188" s="8"/>
      <c r="B188" s="10"/>
      <c r="C188" s="196"/>
      <c r="D188" s="10"/>
      <c r="E188" s="10"/>
      <c r="F188" s="10"/>
    </row>
    <row r="189" spans="1:9" ht="12.75" customHeight="1" x14ac:dyDescent="0.25">
      <c r="A189" s="8"/>
      <c r="B189" s="10"/>
      <c r="C189" s="196"/>
      <c r="D189" s="10"/>
      <c r="E189" s="10"/>
      <c r="F189" s="10"/>
    </row>
    <row r="190" spans="1:9" ht="12.75" customHeight="1" x14ac:dyDescent="0.25">
      <c r="A190" s="8"/>
      <c r="B190" s="10"/>
      <c r="C190" s="196"/>
      <c r="D190" s="10"/>
      <c r="E190" s="10"/>
      <c r="F190" s="10"/>
    </row>
    <row r="191" spans="1:9" ht="12.75" customHeight="1" x14ac:dyDescent="0.25">
      <c r="A191" s="8"/>
      <c r="B191" s="10"/>
      <c r="C191" s="196"/>
      <c r="D191" s="10"/>
      <c r="E191" s="10"/>
      <c r="F191" s="10"/>
    </row>
    <row r="192" spans="1:9" x14ac:dyDescent="0.25">
      <c r="A192" s="8"/>
      <c r="B192" s="10"/>
      <c r="C192" s="196"/>
      <c r="D192" s="10"/>
      <c r="E192" s="10"/>
      <c r="F192" s="10"/>
    </row>
    <row r="193" spans="1:6" x14ac:dyDescent="0.25">
      <c r="A193" s="8"/>
      <c r="B193" s="10"/>
      <c r="C193" s="196"/>
      <c r="D193" s="10"/>
      <c r="E193" s="10"/>
      <c r="F193" s="10"/>
    </row>
    <row r="194" spans="1:6" x14ac:dyDescent="0.25">
      <c r="A194" s="8"/>
      <c r="B194" s="10"/>
      <c r="C194" s="196"/>
      <c r="D194" s="10"/>
      <c r="E194" s="10"/>
      <c r="F194" s="10"/>
    </row>
    <row r="195" spans="1:6" x14ac:dyDescent="0.25">
      <c r="A195" s="8"/>
      <c r="B195" s="10"/>
      <c r="C195" s="196"/>
      <c r="D195" s="10"/>
      <c r="E195" s="10"/>
      <c r="F195" s="10"/>
    </row>
    <row r="196" spans="1:6" s="10" customFormat="1" x14ac:dyDescent="0.25">
      <c r="A196" s="8"/>
      <c r="C196" s="196"/>
    </row>
    <row r="197" spans="1:6" s="10" customFormat="1" x14ac:dyDescent="0.25">
      <c r="A197" s="8"/>
      <c r="C197" s="196"/>
    </row>
    <row r="198" spans="1:6" s="10" customFormat="1" x14ac:dyDescent="0.25">
      <c r="A198" s="8"/>
      <c r="C198" s="196"/>
    </row>
    <row r="199" spans="1:6" s="10" customFormat="1" x14ac:dyDescent="0.25">
      <c r="A199" s="8"/>
      <c r="C199" s="196"/>
    </row>
    <row r="200" spans="1:6" s="10" customFormat="1" x14ac:dyDescent="0.25">
      <c r="A200" s="8"/>
      <c r="C200" s="196"/>
    </row>
    <row r="201" spans="1:6" s="10" customFormat="1" x14ac:dyDescent="0.25">
      <c r="A201" s="8"/>
      <c r="C201" s="196"/>
    </row>
    <row r="202" spans="1:6" s="10" customFormat="1" x14ac:dyDescent="0.25">
      <c r="A202" s="8"/>
      <c r="C202" s="196"/>
    </row>
    <row r="203" spans="1:6" s="10" customFormat="1" x14ac:dyDescent="0.25">
      <c r="A203" s="8"/>
      <c r="C203" s="196"/>
    </row>
    <row r="204" spans="1:6" s="10" customFormat="1" x14ac:dyDescent="0.25">
      <c r="A204" s="8"/>
      <c r="C204" s="196"/>
    </row>
    <row r="205" spans="1:6" s="10" customFormat="1" x14ac:dyDescent="0.25">
      <c r="A205" s="8"/>
      <c r="C205" s="196"/>
    </row>
    <row r="206" spans="1:6" s="10" customFormat="1" x14ac:dyDescent="0.25">
      <c r="A206" s="8"/>
      <c r="C206" s="196"/>
    </row>
    <row r="207" spans="1:6" s="10" customFormat="1" x14ac:dyDescent="0.25">
      <c r="A207" s="8"/>
      <c r="C207" s="196"/>
    </row>
    <row r="208" spans="1:6" s="10" customFormat="1" x14ac:dyDescent="0.25">
      <c r="A208" s="8"/>
      <c r="C208" s="196"/>
    </row>
    <row r="209" spans="1:3" s="10" customFormat="1" x14ac:dyDescent="0.25">
      <c r="A209" s="8"/>
      <c r="C209" s="196"/>
    </row>
    <row r="210" spans="1:3" s="10" customFormat="1" x14ac:dyDescent="0.25">
      <c r="A210" s="8"/>
      <c r="C210" s="196"/>
    </row>
    <row r="211" spans="1:3" s="10" customFormat="1" x14ac:dyDescent="0.25">
      <c r="A211" s="8"/>
      <c r="C211" s="196"/>
    </row>
    <row r="212" spans="1:3" s="10" customFormat="1" x14ac:dyDescent="0.25">
      <c r="A212" s="8"/>
      <c r="C212" s="196"/>
    </row>
    <row r="213" spans="1:3" s="10" customFormat="1" x14ac:dyDescent="0.25">
      <c r="A213" s="8"/>
      <c r="C213" s="196"/>
    </row>
    <row r="214" spans="1:3" s="10" customFormat="1" x14ac:dyDescent="0.25">
      <c r="A214" s="8"/>
      <c r="C214" s="196"/>
    </row>
    <row r="215" spans="1:3" s="10" customFormat="1" x14ac:dyDescent="0.25">
      <c r="A215" s="8"/>
      <c r="C215" s="196"/>
    </row>
    <row r="216" spans="1:3" s="10" customFormat="1" x14ac:dyDescent="0.25">
      <c r="A216" s="8"/>
      <c r="C216" s="196"/>
    </row>
    <row r="217" spans="1:3" s="10" customFormat="1" x14ac:dyDescent="0.25">
      <c r="A217" s="8"/>
      <c r="C217" s="196"/>
    </row>
    <row r="218" spans="1:3" s="10" customFormat="1" x14ac:dyDescent="0.25">
      <c r="A218" s="8"/>
      <c r="C218" s="196"/>
    </row>
    <row r="219" spans="1:3" s="10" customFormat="1" x14ac:dyDescent="0.25">
      <c r="A219" s="8"/>
      <c r="C219" s="196"/>
    </row>
    <row r="220" spans="1:3" s="10" customFormat="1" x14ac:dyDescent="0.25">
      <c r="A220" s="8"/>
      <c r="C220" s="196"/>
    </row>
    <row r="221" spans="1:3" s="10" customFormat="1" x14ac:dyDescent="0.25">
      <c r="A221" s="8"/>
      <c r="C221" s="196"/>
    </row>
    <row r="222" spans="1:3" s="10" customFormat="1" x14ac:dyDescent="0.25">
      <c r="A222" s="8"/>
      <c r="C222" s="196"/>
    </row>
    <row r="223" spans="1:3" s="10" customFormat="1" x14ac:dyDescent="0.25">
      <c r="A223" s="8"/>
      <c r="C223" s="196"/>
    </row>
    <row r="224" spans="1:3" s="10" customFormat="1" x14ac:dyDescent="0.25">
      <c r="A224" s="8"/>
      <c r="C224" s="196"/>
    </row>
    <row r="225" spans="1:3" s="10" customFormat="1" x14ac:dyDescent="0.25">
      <c r="A225" s="8"/>
      <c r="C225" s="196"/>
    </row>
    <row r="226" spans="1:3" s="10" customFormat="1" x14ac:dyDescent="0.25">
      <c r="A226" s="8"/>
      <c r="C226" s="196"/>
    </row>
    <row r="227" spans="1:3" s="10" customFormat="1" x14ac:dyDescent="0.25">
      <c r="A227" s="8"/>
      <c r="C227" s="196"/>
    </row>
    <row r="228" spans="1:3" s="10" customFormat="1" x14ac:dyDescent="0.25">
      <c r="A228" s="8"/>
      <c r="C228" s="196"/>
    </row>
    <row r="229" spans="1:3" s="10" customFormat="1" x14ac:dyDescent="0.25">
      <c r="A229" s="8"/>
      <c r="C229" s="196"/>
    </row>
    <row r="230" spans="1:3" s="10" customFormat="1" x14ac:dyDescent="0.25">
      <c r="A230" s="8"/>
      <c r="C230" s="196"/>
    </row>
    <row r="231" spans="1:3" s="10" customFormat="1" x14ac:dyDescent="0.25">
      <c r="A231" s="8"/>
      <c r="C231" s="196"/>
    </row>
    <row r="232" spans="1:3" s="10" customFormat="1" x14ac:dyDescent="0.25">
      <c r="A232" s="8"/>
      <c r="C232" s="196"/>
    </row>
    <row r="233" spans="1:3" s="10" customFormat="1" x14ac:dyDescent="0.25">
      <c r="A233" s="8"/>
      <c r="C233" s="196"/>
    </row>
    <row r="234" spans="1:3" s="10" customFormat="1" x14ac:dyDescent="0.25">
      <c r="A234" s="8"/>
      <c r="C234" s="196"/>
    </row>
    <row r="235" spans="1:3" s="10" customFormat="1" x14ac:dyDescent="0.25">
      <c r="A235" s="8"/>
      <c r="C235" s="196"/>
    </row>
    <row r="236" spans="1:3" s="10" customFormat="1" x14ac:dyDescent="0.25">
      <c r="A236" s="8"/>
      <c r="C236" s="196"/>
    </row>
    <row r="237" spans="1:3" s="10" customFormat="1" x14ac:dyDescent="0.25">
      <c r="A237" s="8"/>
      <c r="C237" s="196"/>
    </row>
    <row r="238" spans="1:3" s="10" customFormat="1" x14ac:dyDescent="0.25">
      <c r="A238" s="8"/>
      <c r="C238" s="196"/>
    </row>
    <row r="239" spans="1:3" s="10" customFormat="1" x14ac:dyDescent="0.25">
      <c r="A239" s="8"/>
      <c r="C239" s="196"/>
    </row>
    <row r="240" spans="1:3" s="10" customFormat="1" x14ac:dyDescent="0.25">
      <c r="A240" s="8"/>
      <c r="C240" s="196"/>
    </row>
    <row r="241" spans="1:3" s="10" customFormat="1" x14ac:dyDescent="0.25">
      <c r="A241" s="8"/>
      <c r="C241" s="196"/>
    </row>
    <row r="242" spans="1:3" s="10" customFormat="1" x14ac:dyDescent="0.25">
      <c r="A242" s="8"/>
      <c r="C242" s="196"/>
    </row>
    <row r="243" spans="1:3" s="10" customFormat="1" x14ac:dyDescent="0.25">
      <c r="A243" s="8"/>
      <c r="C243" s="196"/>
    </row>
    <row r="244" spans="1:3" s="10" customFormat="1" x14ac:dyDescent="0.25">
      <c r="A244" s="8"/>
      <c r="C244" s="196"/>
    </row>
    <row r="245" spans="1:3" s="10" customFormat="1" x14ac:dyDescent="0.25">
      <c r="A245" s="8"/>
      <c r="C245" s="196"/>
    </row>
    <row r="246" spans="1:3" s="10" customFormat="1" x14ac:dyDescent="0.25">
      <c r="A246" s="8"/>
      <c r="C246" s="196"/>
    </row>
    <row r="247" spans="1:3" s="10" customFormat="1" x14ac:dyDescent="0.25">
      <c r="A247" s="8"/>
      <c r="C247" s="196"/>
    </row>
    <row r="248" spans="1:3" s="10" customFormat="1" x14ac:dyDescent="0.25">
      <c r="A248" s="8"/>
      <c r="C248" s="196"/>
    </row>
    <row r="249" spans="1:3" s="10" customFormat="1" x14ac:dyDescent="0.25">
      <c r="A249" s="8"/>
      <c r="C249" s="196"/>
    </row>
    <row r="250" spans="1:3" s="10" customFormat="1" x14ac:dyDescent="0.25">
      <c r="A250" s="8"/>
      <c r="C250" s="196"/>
    </row>
    <row r="251" spans="1:3" s="10" customFormat="1" x14ac:dyDescent="0.25">
      <c r="A251" s="8"/>
      <c r="C251" s="196"/>
    </row>
    <row r="252" spans="1:3" s="10" customFormat="1" x14ac:dyDescent="0.25">
      <c r="A252" s="8"/>
      <c r="C252" s="196"/>
    </row>
    <row r="253" spans="1:3" s="10" customFormat="1" x14ac:dyDescent="0.25">
      <c r="A253" s="8"/>
      <c r="C253" s="196"/>
    </row>
    <row r="254" spans="1:3" s="10" customFormat="1" x14ac:dyDescent="0.25">
      <c r="A254" s="8"/>
      <c r="C254" s="196"/>
    </row>
    <row r="255" spans="1:3" s="10" customFormat="1" x14ac:dyDescent="0.25">
      <c r="A255" s="8"/>
      <c r="C255" s="196"/>
    </row>
    <row r="256" spans="1:3" s="10" customFormat="1" x14ac:dyDescent="0.25">
      <c r="A256" s="8"/>
      <c r="C256" s="196"/>
    </row>
    <row r="257" spans="1:3" s="10" customFormat="1" x14ac:dyDescent="0.25">
      <c r="A257" s="8"/>
      <c r="C257" s="196"/>
    </row>
    <row r="258" spans="1:3" s="10" customFormat="1" x14ac:dyDescent="0.25">
      <c r="A258" s="8"/>
      <c r="C258" s="196"/>
    </row>
    <row r="259" spans="1:3" s="10" customFormat="1" x14ac:dyDescent="0.25">
      <c r="A259" s="8"/>
      <c r="C259" s="196"/>
    </row>
    <row r="260" spans="1:3" s="10" customFormat="1" x14ac:dyDescent="0.25">
      <c r="A260" s="8"/>
      <c r="C260" s="196"/>
    </row>
    <row r="261" spans="1:3" x14ac:dyDescent="0.25">
      <c r="C261" s="227"/>
    </row>
    <row r="262" spans="1:3" x14ac:dyDescent="0.25">
      <c r="C262" s="227"/>
    </row>
    <row r="263" spans="1:3" x14ac:dyDescent="0.25">
      <c r="C263" s="227"/>
    </row>
    <row r="264" spans="1:3" x14ac:dyDescent="0.25">
      <c r="C264" s="227"/>
    </row>
    <row r="265" spans="1:3" x14ac:dyDescent="0.25">
      <c r="C265" s="227"/>
    </row>
    <row r="266" spans="1:3" x14ac:dyDescent="0.25">
      <c r="C266" s="227"/>
    </row>
    <row r="267" spans="1:3" x14ac:dyDescent="0.25">
      <c r="C267" s="227"/>
    </row>
    <row r="268" spans="1:3" x14ac:dyDescent="0.25">
      <c r="C268" s="227"/>
    </row>
    <row r="269" spans="1:3" x14ac:dyDescent="0.25">
      <c r="C269" s="227"/>
    </row>
    <row r="270" spans="1:3" x14ac:dyDescent="0.25">
      <c r="C270" s="227"/>
    </row>
    <row r="271" spans="1:3" x14ac:dyDescent="0.25">
      <c r="C271" s="227"/>
    </row>
    <row r="272" spans="1:3" x14ac:dyDescent="0.25">
      <c r="C272" s="227"/>
    </row>
    <row r="273" spans="3:3" x14ac:dyDescent="0.25">
      <c r="C273" s="227"/>
    </row>
    <row r="274" spans="3:3" x14ac:dyDescent="0.25">
      <c r="C274" s="227"/>
    </row>
    <row r="275" spans="3:3" x14ac:dyDescent="0.25">
      <c r="C275" s="227"/>
    </row>
    <row r="276" spans="3:3" x14ac:dyDescent="0.25">
      <c r="C276" s="227"/>
    </row>
    <row r="277" spans="3:3" x14ac:dyDescent="0.25">
      <c r="C277" s="227"/>
    </row>
    <row r="278" spans="3:3" x14ac:dyDescent="0.25">
      <c r="C278" s="227"/>
    </row>
    <row r="279" spans="3:3" x14ac:dyDescent="0.25">
      <c r="C279" s="227"/>
    </row>
    <row r="280" spans="3:3" x14ac:dyDescent="0.25">
      <c r="C280" s="227"/>
    </row>
    <row r="281" spans="3:3" x14ac:dyDescent="0.25">
      <c r="C281" s="227"/>
    </row>
    <row r="282" spans="3:3" x14ac:dyDescent="0.25">
      <c r="C282" s="227"/>
    </row>
    <row r="283" spans="3:3" x14ac:dyDescent="0.25">
      <c r="C283" s="227"/>
    </row>
    <row r="284" spans="3:3" x14ac:dyDescent="0.25">
      <c r="C284" s="227"/>
    </row>
    <row r="285" spans="3:3" x14ac:dyDescent="0.25">
      <c r="C285" s="227"/>
    </row>
    <row r="286" spans="3:3" x14ac:dyDescent="0.25">
      <c r="C286" s="227"/>
    </row>
    <row r="287" spans="3:3" x14ac:dyDescent="0.25">
      <c r="C287" s="227"/>
    </row>
    <row r="288" spans="3:3" x14ac:dyDescent="0.25">
      <c r="C288" s="227"/>
    </row>
    <row r="289" spans="3:3" x14ac:dyDescent="0.25">
      <c r="C289" s="227"/>
    </row>
    <row r="290" spans="3:3" x14ac:dyDescent="0.25">
      <c r="C290" s="227"/>
    </row>
    <row r="291" spans="3:3" x14ac:dyDescent="0.25">
      <c r="C291" s="227"/>
    </row>
    <row r="292" spans="3:3" x14ac:dyDescent="0.25">
      <c r="C292" s="227"/>
    </row>
    <row r="293" spans="3:3" x14ac:dyDescent="0.25">
      <c r="C293" s="227"/>
    </row>
    <row r="294" spans="3:3" x14ac:dyDescent="0.25">
      <c r="C294" s="227"/>
    </row>
    <row r="295" spans="3:3" x14ac:dyDescent="0.25">
      <c r="C295" s="227"/>
    </row>
    <row r="296" spans="3:3" x14ac:dyDescent="0.25">
      <c r="C296" s="227"/>
    </row>
    <row r="297" spans="3:3" x14ac:dyDescent="0.25">
      <c r="C297" s="227"/>
    </row>
    <row r="298" spans="3:3" x14ac:dyDescent="0.25">
      <c r="C298" s="227"/>
    </row>
    <row r="299" spans="3:3" x14ac:dyDescent="0.25">
      <c r="C299" s="227"/>
    </row>
    <row r="300" spans="3:3" x14ac:dyDescent="0.25">
      <c r="C300" s="227"/>
    </row>
    <row r="301" spans="3:3" x14ac:dyDescent="0.25">
      <c r="C301" s="227"/>
    </row>
  </sheetData>
  <mergeCells count="3">
    <mergeCell ref="A1:F1"/>
    <mergeCell ref="A2:F2"/>
    <mergeCell ref="A3:F3"/>
  </mergeCells>
  <pageMargins left="0.75" right="0.75" top="1" bottom="1" header="0.5" footer="0.5"/>
  <pageSetup scale="43" orientation="portrait" horizontalDpi="300" r:id="rId1"/>
  <headerFooter alignWithMargins="0"/>
  <rowBreaks count="1" manualBreakCount="1">
    <brk id="87" max="9" man="1"/>
  </rowBreaks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22" workbookViewId="0">
      <selection activeCell="C68" sqref="C68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6" width="9.109375" style="490"/>
    <col min="7" max="7" width="12.88671875" style="490" bestFit="1" customWidth="1"/>
    <col min="8" max="8" width="14" style="490" bestFit="1" customWidth="1"/>
    <col min="9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373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374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91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383917606.92000002</v>
      </c>
      <c r="D9" s="500">
        <v>192134810.47999999</v>
      </c>
      <c r="E9" s="500">
        <v>576052417.39999998</v>
      </c>
    </row>
    <row r="10" spans="1:5" x14ac:dyDescent="0.25">
      <c r="A10" s="499" t="s">
        <v>94</v>
      </c>
      <c r="B10" s="499" t="s">
        <v>35</v>
      </c>
      <c r="C10" s="501">
        <v>746498853.11000001</v>
      </c>
      <c r="D10" s="501">
        <v>373495373.64999998</v>
      </c>
      <c r="E10" s="501">
        <v>1119994226.76</v>
      </c>
    </row>
    <row r="11" spans="1:5" x14ac:dyDescent="0.25">
      <c r="A11" s="499" t="s">
        <v>95</v>
      </c>
      <c r="B11" s="499" t="s">
        <v>36</v>
      </c>
      <c r="C11" s="501">
        <v>440995363.60000002</v>
      </c>
      <c r="D11" s="501">
        <v>220590192.88</v>
      </c>
      <c r="E11" s="501">
        <v>661585556.48000002</v>
      </c>
    </row>
    <row r="12" spans="1:5" x14ac:dyDescent="0.25">
      <c r="A12" s="499" t="s">
        <v>96</v>
      </c>
      <c r="B12" s="499" t="s">
        <v>37</v>
      </c>
      <c r="C12" s="501">
        <v>22142675.02</v>
      </c>
      <c r="D12" s="501">
        <v>11094918.42</v>
      </c>
      <c r="E12" s="501">
        <v>33237593.440000001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v>1593554498.6500001</v>
      </c>
      <c r="D14" s="504">
        <v>797315295.42999995</v>
      </c>
      <c r="E14" s="504">
        <v>2390869794.0799999</v>
      </c>
    </row>
    <row r="16" spans="1:5" x14ac:dyDescent="0.25">
      <c r="A16" s="499" t="s">
        <v>99</v>
      </c>
      <c r="B16" s="499" t="s">
        <v>100</v>
      </c>
      <c r="C16" s="501">
        <v>254584.39</v>
      </c>
      <c r="D16" s="501">
        <v>203285.06</v>
      </c>
      <c r="E16" s="501">
        <v>457869.45</v>
      </c>
    </row>
    <row r="17" spans="1:5" x14ac:dyDescent="0.25">
      <c r="A17" s="499" t="s">
        <v>101</v>
      </c>
      <c r="B17" s="499" t="s">
        <v>102</v>
      </c>
      <c r="C17" s="501">
        <v>494406.1</v>
      </c>
      <c r="D17" s="501">
        <v>394975.22</v>
      </c>
      <c r="E17" s="501">
        <v>889381.32</v>
      </c>
    </row>
    <row r="18" spans="1:5" x14ac:dyDescent="0.25">
      <c r="A18" s="499" t="s">
        <v>103</v>
      </c>
      <c r="B18" s="499" t="s">
        <v>104</v>
      </c>
      <c r="C18" s="501">
        <v>416079.68</v>
      </c>
      <c r="D18" s="501">
        <v>268968.12</v>
      </c>
      <c r="E18" s="501">
        <v>685047.8</v>
      </c>
    </row>
    <row r="19" spans="1:5" x14ac:dyDescent="0.25">
      <c r="A19" s="499" t="s">
        <v>105</v>
      </c>
      <c r="B19" s="499" t="s">
        <v>106</v>
      </c>
      <c r="C19" s="501">
        <v>13899.06</v>
      </c>
      <c r="D19" s="501">
        <v>11317.72</v>
      </c>
      <c r="E19" s="501">
        <v>25216.78</v>
      </c>
    </row>
    <row r="20" spans="1:5" x14ac:dyDescent="0.25">
      <c r="A20" s="502" t="s">
        <v>107</v>
      </c>
      <c r="B20" s="503"/>
      <c r="C20" s="504">
        <v>1178969.23</v>
      </c>
      <c r="D20" s="504">
        <v>878546.12</v>
      </c>
      <c r="E20" s="504">
        <v>2057515.35</v>
      </c>
    </row>
    <row r="22" spans="1:5" x14ac:dyDescent="0.25">
      <c r="A22" s="499" t="s">
        <v>108</v>
      </c>
      <c r="B22" s="499" t="s">
        <v>109</v>
      </c>
      <c r="C22" s="501">
        <v>33909.019999999997</v>
      </c>
      <c r="D22" s="501">
        <v>58336.45</v>
      </c>
      <c r="E22" s="501">
        <v>92245.47</v>
      </c>
    </row>
    <row r="23" spans="1:5" x14ac:dyDescent="0.25">
      <c r="A23" s="499" t="s">
        <v>110</v>
      </c>
      <c r="B23" s="499" t="s">
        <v>111</v>
      </c>
      <c r="C23" s="501">
        <v>65904.600000000006</v>
      </c>
      <c r="D23" s="501">
        <v>113380.89</v>
      </c>
      <c r="E23" s="501">
        <v>179285.49</v>
      </c>
    </row>
    <row r="24" spans="1:5" x14ac:dyDescent="0.25">
      <c r="A24" s="499" t="s">
        <v>112</v>
      </c>
      <c r="B24" s="499" t="s">
        <v>113</v>
      </c>
      <c r="C24" s="501">
        <v>38946.18</v>
      </c>
      <c r="D24" s="501">
        <v>67002.2</v>
      </c>
      <c r="E24" s="501">
        <v>105948.38</v>
      </c>
    </row>
    <row r="25" spans="1:5" x14ac:dyDescent="0.25">
      <c r="A25" s="499" t="s">
        <v>114</v>
      </c>
      <c r="B25" s="499" t="s">
        <v>115</v>
      </c>
      <c r="C25" s="501">
        <v>1941.57</v>
      </c>
      <c r="D25" s="501">
        <v>3340.34</v>
      </c>
      <c r="E25" s="501">
        <v>5281.91</v>
      </c>
    </row>
    <row r="26" spans="1:5" x14ac:dyDescent="0.25">
      <c r="A26" s="502" t="s">
        <v>116</v>
      </c>
      <c r="B26" s="503"/>
      <c r="C26" s="504">
        <v>140701.37</v>
      </c>
      <c r="D26" s="504">
        <v>242059.87999999998</v>
      </c>
      <c r="E26" s="504">
        <v>382761.24999999994</v>
      </c>
    </row>
    <row r="28" spans="1:5" x14ac:dyDescent="0.25">
      <c r="A28" s="499" t="s">
        <v>117</v>
      </c>
      <c r="B28" s="499" t="s">
        <v>118</v>
      </c>
      <c r="C28" s="501">
        <v>1219.44</v>
      </c>
      <c r="D28" s="501">
        <v>0</v>
      </c>
      <c r="E28" s="501">
        <v>1219.44</v>
      </c>
    </row>
    <row r="29" spans="1:5" x14ac:dyDescent="0.25">
      <c r="A29" s="499" t="s">
        <v>119</v>
      </c>
      <c r="B29" s="499" t="s">
        <v>120</v>
      </c>
      <c r="C29" s="501">
        <v>2370.06</v>
      </c>
      <c r="D29" s="501">
        <v>0</v>
      </c>
      <c r="E29" s="501">
        <v>2370.06</v>
      </c>
    </row>
    <row r="30" spans="1:5" x14ac:dyDescent="0.25">
      <c r="A30" s="499" t="s">
        <v>121</v>
      </c>
      <c r="B30" s="499" t="s">
        <v>122</v>
      </c>
      <c r="C30" s="501">
        <v>1400.58</v>
      </c>
      <c r="D30" s="501">
        <v>0</v>
      </c>
      <c r="E30" s="501">
        <v>1400.58</v>
      </c>
    </row>
    <row r="31" spans="1:5" x14ac:dyDescent="0.25">
      <c r="A31" s="499" t="s">
        <v>123</v>
      </c>
      <c r="B31" s="499" t="s">
        <v>124</v>
      </c>
      <c r="C31" s="501">
        <v>69.83</v>
      </c>
      <c r="D31" s="501">
        <v>0</v>
      </c>
      <c r="E31" s="501">
        <v>69.83</v>
      </c>
    </row>
    <row r="32" spans="1:5" x14ac:dyDescent="0.25">
      <c r="A32" s="502" t="s">
        <v>125</v>
      </c>
      <c r="B32" s="503"/>
      <c r="C32" s="504">
        <v>5059.91</v>
      </c>
      <c r="D32" s="504">
        <v>0</v>
      </c>
      <c r="E32" s="504">
        <v>5059.91</v>
      </c>
    </row>
    <row r="34" spans="1:8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8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8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8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8" x14ac:dyDescent="0.25">
      <c r="A38" s="502" t="s">
        <v>325</v>
      </c>
      <c r="B38" s="503"/>
      <c r="C38" s="504">
        <v>0</v>
      </c>
      <c r="D38" s="504">
        <v>0</v>
      </c>
      <c r="E38" s="504">
        <v>0</v>
      </c>
    </row>
    <row r="40" spans="1:8" x14ac:dyDescent="0.25">
      <c r="A40" s="499" t="s">
        <v>126</v>
      </c>
      <c r="B40" s="499" t="s">
        <v>347</v>
      </c>
      <c r="C40" s="501">
        <v>-214382.67</v>
      </c>
      <c r="D40" s="501">
        <v>-907283.63</v>
      </c>
      <c r="E40" s="501">
        <v>-1121666.3</v>
      </c>
      <c r="G40" s="505">
        <f>+[29]Report!$F$325+[29]Report!$F$304</f>
        <v>907283.63</v>
      </c>
      <c r="H40" s="505">
        <f>+[29]Report!$G$304+[29]Report!$G$325</f>
        <v>1121666.3</v>
      </c>
    </row>
    <row r="41" spans="1:8" x14ac:dyDescent="0.25">
      <c r="A41" s="499" t="s">
        <v>128</v>
      </c>
      <c r="B41" s="499" t="s">
        <v>348</v>
      </c>
      <c r="C41" s="501">
        <v>-8292996.6100000003</v>
      </c>
      <c r="D41" s="501">
        <v>-4023010.85</v>
      </c>
      <c r="E41" s="501">
        <v>-12316007.460000001</v>
      </c>
      <c r="G41" s="505">
        <f>+[29]Report!$F$305+[29]Report!$F$327</f>
        <v>4023010.85</v>
      </c>
      <c r="H41" s="505">
        <f>+[29]Report!$G$305+[29]Report!$G$327</f>
        <v>12316007.460000001</v>
      </c>
    </row>
    <row r="42" spans="1:8" x14ac:dyDescent="0.25">
      <c r="A42" s="499" t="s">
        <v>130</v>
      </c>
      <c r="B42" s="499" t="s">
        <v>349</v>
      </c>
      <c r="C42" s="501">
        <v>-246332.14</v>
      </c>
      <c r="D42" s="501">
        <v>-1200566.22</v>
      </c>
      <c r="E42" s="501">
        <v>-1446898.36</v>
      </c>
      <c r="G42" s="505">
        <f>+[29]Report!$F$306+[29]Report!$F$328</f>
        <v>1200566.22</v>
      </c>
      <c r="H42" s="505">
        <f>+[29]Report!$G$306+[29]Report!$G$328</f>
        <v>1446898.36</v>
      </c>
    </row>
    <row r="43" spans="1:8" x14ac:dyDescent="0.25">
      <c r="A43" s="499" t="s">
        <v>132</v>
      </c>
      <c r="B43" s="499" t="s">
        <v>350</v>
      </c>
      <c r="C43" s="501">
        <v>-12276.9</v>
      </c>
      <c r="D43" s="501">
        <v>-51952.34</v>
      </c>
      <c r="E43" s="501">
        <v>-64229.24</v>
      </c>
      <c r="G43" s="505">
        <f>+[29]Report!$F$307</f>
        <v>51952.34</v>
      </c>
      <c r="H43" s="505">
        <f>+[29]Report!$G$307+[29]Report!$G$329</f>
        <v>64229.24</v>
      </c>
    </row>
    <row r="44" spans="1:8" x14ac:dyDescent="0.25">
      <c r="A44" s="502" t="s">
        <v>134</v>
      </c>
      <c r="B44" s="503"/>
      <c r="C44" s="504">
        <v>-8765988.3200000022</v>
      </c>
      <c r="D44" s="504">
        <v>-6182813.04</v>
      </c>
      <c r="E44" s="504">
        <v>-14948801.360000001</v>
      </c>
      <c r="G44" s="506">
        <f>SUM(G40:G43)</f>
        <v>6182813.04</v>
      </c>
      <c r="H44" s="506">
        <f>SUM(H40:H43)</f>
        <v>14948801.360000001</v>
      </c>
    </row>
    <row r="46" spans="1:8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8" x14ac:dyDescent="0.25">
      <c r="A47" s="499" t="s">
        <v>328</v>
      </c>
      <c r="B47" s="499" t="s">
        <v>329</v>
      </c>
      <c r="C47" s="501">
        <v>-11808896</v>
      </c>
      <c r="D47" s="501">
        <v>8805168</v>
      </c>
      <c r="E47" s="501">
        <v>-3003728</v>
      </c>
    </row>
    <row r="48" spans="1:8" x14ac:dyDescent="0.25">
      <c r="A48" s="499" t="s">
        <v>330</v>
      </c>
      <c r="B48" s="499" t="s">
        <v>331</v>
      </c>
      <c r="C48" s="501">
        <v>91109755</v>
      </c>
      <c r="D48" s="501">
        <v>-19612277</v>
      </c>
      <c r="E48" s="501">
        <v>71497478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v>79300859</v>
      </c>
      <c r="D50" s="504">
        <v>-10807109</v>
      </c>
      <c r="E50" s="504">
        <v>68493750</v>
      </c>
    </row>
    <row r="52" spans="1:5" x14ac:dyDescent="0.25">
      <c r="A52" s="499" t="s">
        <v>135</v>
      </c>
      <c r="B52" s="499" t="s">
        <v>136</v>
      </c>
      <c r="C52" s="501">
        <v>-441478819.61000001</v>
      </c>
      <c r="D52" s="501">
        <v>-119203446.61</v>
      </c>
      <c r="E52" s="501">
        <v>-560682266.22000003</v>
      </c>
    </row>
    <row r="53" spans="1:5" x14ac:dyDescent="0.25">
      <c r="A53" s="499" t="s">
        <v>137</v>
      </c>
      <c r="B53" s="499" t="s">
        <v>138</v>
      </c>
      <c r="C53" s="501">
        <v>-702901462.88</v>
      </c>
      <c r="D53" s="501">
        <v>-348291695</v>
      </c>
      <c r="E53" s="501">
        <v>-1051193157.88</v>
      </c>
    </row>
    <row r="54" spans="1:5" x14ac:dyDescent="0.25">
      <c r="A54" s="499" t="s">
        <v>139</v>
      </c>
      <c r="B54" s="499" t="s">
        <v>140</v>
      </c>
      <c r="C54" s="501">
        <v>-422294691</v>
      </c>
      <c r="D54" s="501">
        <v>-183131930</v>
      </c>
      <c r="E54" s="501">
        <v>-605426621</v>
      </c>
    </row>
    <row r="55" spans="1:5" x14ac:dyDescent="0.25">
      <c r="A55" s="499" t="s">
        <v>141</v>
      </c>
      <c r="B55" s="499" t="s">
        <v>142</v>
      </c>
      <c r="C55" s="501">
        <v>-19848462.57</v>
      </c>
      <c r="D55" s="501">
        <v>-9585581.6400000006</v>
      </c>
      <c r="E55" s="501">
        <v>-29434044.210000001</v>
      </c>
    </row>
    <row r="56" spans="1:5" x14ac:dyDescent="0.25">
      <c r="A56" s="502" t="s">
        <v>143</v>
      </c>
      <c r="B56" s="503"/>
      <c r="C56" s="504">
        <v>-1586523436.0599999</v>
      </c>
      <c r="D56" s="504">
        <v>-660212653.25</v>
      </c>
      <c r="E56" s="504">
        <v>-2246736089.3099999</v>
      </c>
    </row>
    <row r="58" spans="1:5" x14ac:dyDescent="0.25">
      <c r="A58" s="499" t="s">
        <v>351</v>
      </c>
      <c r="B58" s="499" t="s">
        <v>352</v>
      </c>
      <c r="C58" s="501">
        <v>7188305.1500000004</v>
      </c>
      <c r="D58" s="501">
        <v>7190946.2300000004</v>
      </c>
      <c r="E58" s="501">
        <v>14379251.380000001</v>
      </c>
    </row>
    <row r="59" spans="1:5" x14ac:dyDescent="0.25">
      <c r="A59" s="499" t="s">
        <v>353</v>
      </c>
      <c r="B59" s="499" t="s">
        <v>354</v>
      </c>
      <c r="C59" s="501">
        <v>0</v>
      </c>
      <c r="D59" s="501">
        <v>0</v>
      </c>
      <c r="E59" s="501">
        <v>0</v>
      </c>
    </row>
    <row r="60" spans="1:5" x14ac:dyDescent="0.25">
      <c r="C60" s="501">
        <v>7188305.1500000004</v>
      </c>
      <c r="D60" s="501">
        <v>7190946.2300000004</v>
      </c>
      <c r="E60" s="501">
        <v>14379251.380000001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v>0</v>
      </c>
      <c r="D70" s="504">
        <v>0</v>
      </c>
      <c r="E70" s="504">
        <v>0</v>
      </c>
    </row>
    <row r="72" spans="1:5" x14ac:dyDescent="0.25">
      <c r="A72" s="499" t="s">
        <v>151</v>
      </c>
      <c r="B72" s="499" t="s">
        <v>40</v>
      </c>
      <c r="C72" s="501">
        <v>-11878591.699999999</v>
      </c>
      <c r="D72" s="501">
        <v>-5785113.7000000002</v>
      </c>
      <c r="E72" s="501">
        <v>-17663705.399999999</v>
      </c>
    </row>
    <row r="73" spans="1:5" x14ac:dyDescent="0.25">
      <c r="A73" s="499" t="s">
        <v>152</v>
      </c>
      <c r="B73" s="499" t="s">
        <v>41</v>
      </c>
      <c r="C73" s="501">
        <v>-3299460.56</v>
      </c>
      <c r="D73" s="501">
        <v>-1533866.33</v>
      </c>
      <c r="E73" s="501">
        <v>-4833326.8899999997</v>
      </c>
    </row>
    <row r="74" spans="1:5" x14ac:dyDescent="0.25">
      <c r="A74" s="499" t="s">
        <v>153</v>
      </c>
      <c r="B74" s="499" t="s">
        <v>42</v>
      </c>
      <c r="C74" s="501">
        <v>-1538902.25</v>
      </c>
      <c r="D74" s="501">
        <v>-686900.69</v>
      </c>
      <c r="E74" s="501">
        <v>-2225802.94</v>
      </c>
    </row>
    <row r="75" spans="1:5" x14ac:dyDescent="0.25">
      <c r="A75" s="499" t="s">
        <v>154</v>
      </c>
      <c r="B75" s="499" t="s">
        <v>43</v>
      </c>
      <c r="C75" s="501">
        <v>-2985263.28</v>
      </c>
      <c r="D75" s="501">
        <v>-1118801.8</v>
      </c>
      <c r="E75" s="501">
        <v>-4104065.08</v>
      </c>
    </row>
    <row r="76" spans="1:5" x14ac:dyDescent="0.25">
      <c r="A76" s="502" t="s">
        <v>155</v>
      </c>
      <c r="B76" s="503"/>
      <c r="C76" s="504">
        <v>-19702217.789999999</v>
      </c>
      <c r="D76" s="504">
        <v>-9124682.5200000014</v>
      </c>
      <c r="E76" s="504">
        <v>-28826900.310000002</v>
      </c>
    </row>
    <row r="78" spans="1:5" x14ac:dyDescent="0.25">
      <c r="A78" s="499" t="s">
        <v>156</v>
      </c>
      <c r="B78" s="499" t="s">
        <v>157</v>
      </c>
      <c r="C78" s="501">
        <v>2849471.84</v>
      </c>
      <c r="D78" s="501">
        <v>1261334.27</v>
      </c>
      <c r="E78" s="501">
        <v>4110806.11</v>
      </c>
    </row>
    <row r="79" spans="1:5" x14ac:dyDescent="0.25">
      <c r="A79" s="499" t="s">
        <v>158</v>
      </c>
      <c r="B79" s="499" t="s">
        <v>159</v>
      </c>
      <c r="C79" s="501">
        <v>1006623.77</v>
      </c>
      <c r="D79" s="501">
        <v>447889.08</v>
      </c>
      <c r="E79" s="501">
        <v>1454512.85</v>
      </c>
    </row>
    <row r="80" spans="1:5" x14ac:dyDescent="0.25">
      <c r="A80" s="499" t="s">
        <v>160</v>
      </c>
      <c r="B80" s="499" t="s">
        <v>161</v>
      </c>
      <c r="C80" s="501">
        <v>150540.24</v>
      </c>
      <c r="D80" s="501">
        <v>68406.75</v>
      </c>
      <c r="E80" s="501">
        <v>218946.99</v>
      </c>
    </row>
    <row r="81" spans="1:5" x14ac:dyDescent="0.25">
      <c r="A81" s="499" t="s">
        <v>162</v>
      </c>
      <c r="B81" s="499" t="s">
        <v>163</v>
      </c>
      <c r="C81" s="501">
        <v>418348.6</v>
      </c>
      <c r="D81" s="501">
        <v>185053.8</v>
      </c>
      <c r="E81" s="501">
        <v>603402.4</v>
      </c>
    </row>
    <row r="82" spans="1:5" x14ac:dyDescent="0.25">
      <c r="A82" s="502" t="s">
        <v>164</v>
      </c>
      <c r="B82" s="503"/>
      <c r="C82" s="504">
        <v>4424984.4499999993</v>
      </c>
      <c r="D82" s="504">
        <v>1962683.9000000001</v>
      </c>
      <c r="E82" s="504">
        <v>6387668.3500000006</v>
      </c>
    </row>
    <row r="84" spans="1:5" x14ac:dyDescent="0.25">
      <c r="A84" s="502" t="s">
        <v>31</v>
      </c>
      <c r="B84" s="503"/>
      <c r="C84" s="504">
        <v>70801735.590000212</v>
      </c>
      <c r="D84" s="504">
        <v>121262273.75</v>
      </c>
      <c r="E84" s="504">
        <v>192064009.33999959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3" workbookViewId="0">
      <selection activeCell="D39" sqref="D39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6" width="9.109375" style="490"/>
    <col min="7" max="7" width="12.88671875" style="490" bestFit="1" customWidth="1"/>
    <col min="8" max="8" width="14" style="490" bestFit="1" customWidth="1"/>
    <col min="9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371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374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205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172732523.41</v>
      </c>
      <c r="D9" s="500">
        <v>211185083.50999999</v>
      </c>
      <c r="E9" s="500">
        <v>383917606.92000002</v>
      </c>
    </row>
    <row r="10" spans="1:5" x14ac:dyDescent="0.25">
      <c r="A10" s="499" t="s">
        <v>94</v>
      </c>
      <c r="B10" s="499" t="s">
        <v>35</v>
      </c>
      <c r="C10" s="501">
        <v>335979828.44999999</v>
      </c>
      <c r="D10" s="501">
        <v>410519024.66000003</v>
      </c>
      <c r="E10" s="501">
        <v>746498853.11000001</v>
      </c>
    </row>
    <row r="11" spans="1:5" x14ac:dyDescent="0.25">
      <c r="A11" s="499" t="s">
        <v>95</v>
      </c>
      <c r="B11" s="499" t="s">
        <v>36</v>
      </c>
      <c r="C11" s="501">
        <v>198342799.68000001</v>
      </c>
      <c r="D11" s="501">
        <v>242652563.91999999</v>
      </c>
      <c r="E11" s="501">
        <v>440995363.60000002</v>
      </c>
    </row>
    <row r="12" spans="1:5" x14ac:dyDescent="0.25">
      <c r="A12" s="499" t="s">
        <v>96</v>
      </c>
      <c r="B12" s="499" t="s">
        <v>37</v>
      </c>
      <c r="C12" s="501">
        <v>9983982.9800000004</v>
      </c>
      <c r="D12" s="501">
        <v>12158692.039999999</v>
      </c>
      <c r="E12" s="501">
        <v>22142675.02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v>717039134.51999998</v>
      </c>
      <c r="D14" s="504">
        <v>876515364.13</v>
      </c>
      <c r="E14" s="504">
        <v>1593554498.6500001</v>
      </c>
    </row>
    <row r="16" spans="1:5" x14ac:dyDescent="0.25">
      <c r="A16" s="499" t="s">
        <v>99</v>
      </c>
      <c r="B16" s="499" t="s">
        <v>100</v>
      </c>
      <c r="C16" s="501">
        <v>151310.64000000001</v>
      </c>
      <c r="D16" s="501">
        <v>103273.75</v>
      </c>
      <c r="E16" s="501">
        <v>254584.39</v>
      </c>
    </row>
    <row r="17" spans="1:5" x14ac:dyDescent="0.25">
      <c r="A17" s="499" t="s">
        <v>101</v>
      </c>
      <c r="B17" s="499" t="s">
        <v>102</v>
      </c>
      <c r="C17" s="501">
        <v>293785.67</v>
      </c>
      <c r="D17" s="501">
        <v>200620.43</v>
      </c>
      <c r="E17" s="501">
        <v>494406.1</v>
      </c>
    </row>
    <row r="18" spans="1:5" x14ac:dyDescent="0.25">
      <c r="A18" s="499" t="s">
        <v>103</v>
      </c>
      <c r="B18" s="499" t="s">
        <v>104</v>
      </c>
      <c r="C18" s="501">
        <v>237657.47</v>
      </c>
      <c r="D18" s="501">
        <v>178422.21</v>
      </c>
      <c r="E18" s="501">
        <v>416079.68</v>
      </c>
    </row>
    <row r="19" spans="1:5" x14ac:dyDescent="0.25">
      <c r="A19" s="499" t="s">
        <v>105</v>
      </c>
      <c r="B19" s="499" t="s">
        <v>106</v>
      </c>
      <c r="C19" s="501">
        <v>8312.7800000000007</v>
      </c>
      <c r="D19" s="501">
        <v>5586.28</v>
      </c>
      <c r="E19" s="501">
        <v>13899.06</v>
      </c>
    </row>
    <row r="20" spans="1:5" x14ac:dyDescent="0.25">
      <c r="A20" s="502" t="s">
        <v>107</v>
      </c>
      <c r="B20" s="503"/>
      <c r="C20" s="504">
        <v>691066.56</v>
      </c>
      <c r="D20" s="504">
        <v>487902.67000000004</v>
      </c>
      <c r="E20" s="504">
        <v>1178969.23</v>
      </c>
    </row>
    <row r="22" spans="1:5" x14ac:dyDescent="0.25">
      <c r="A22" s="499" t="s">
        <v>108</v>
      </c>
      <c r="B22" s="499" t="s">
        <v>109</v>
      </c>
      <c r="C22" s="501">
        <v>64619.22</v>
      </c>
      <c r="D22" s="501">
        <v>-30710.2</v>
      </c>
      <c r="E22" s="501">
        <v>33909.019999999997</v>
      </c>
    </row>
    <row r="23" spans="1:5" x14ac:dyDescent="0.25">
      <c r="A23" s="499" t="s">
        <v>110</v>
      </c>
      <c r="B23" s="499" t="s">
        <v>111</v>
      </c>
      <c r="C23" s="501">
        <v>125591.95</v>
      </c>
      <c r="D23" s="501">
        <v>-59687.35</v>
      </c>
      <c r="E23" s="501">
        <v>65904.600000000006</v>
      </c>
    </row>
    <row r="24" spans="1:5" x14ac:dyDescent="0.25">
      <c r="A24" s="499" t="s">
        <v>112</v>
      </c>
      <c r="B24" s="499" t="s">
        <v>113</v>
      </c>
      <c r="C24" s="501">
        <v>74218.3</v>
      </c>
      <c r="D24" s="501">
        <v>-35272.120000000003</v>
      </c>
      <c r="E24" s="501">
        <v>38946.18</v>
      </c>
    </row>
    <row r="25" spans="1:5" x14ac:dyDescent="0.25">
      <c r="A25" s="499" t="s">
        <v>114</v>
      </c>
      <c r="B25" s="499" t="s">
        <v>115</v>
      </c>
      <c r="C25" s="501">
        <v>3700.13</v>
      </c>
      <c r="D25" s="501">
        <v>-1758.56</v>
      </c>
      <c r="E25" s="501">
        <v>1941.57</v>
      </c>
    </row>
    <row r="26" spans="1:5" x14ac:dyDescent="0.25">
      <c r="A26" s="502" t="s">
        <v>116</v>
      </c>
      <c r="B26" s="503"/>
      <c r="C26" s="504">
        <v>268129.59999999998</v>
      </c>
      <c r="D26" s="504">
        <v>-127428.23000000001</v>
      </c>
      <c r="E26" s="504">
        <v>140701.37</v>
      </c>
    </row>
    <row r="28" spans="1:5" x14ac:dyDescent="0.25">
      <c r="A28" s="499" t="s">
        <v>117</v>
      </c>
      <c r="B28" s="499" t="s">
        <v>118</v>
      </c>
      <c r="C28" s="501">
        <v>978.44</v>
      </c>
      <c r="D28" s="501">
        <v>241</v>
      </c>
      <c r="E28" s="501">
        <v>1219.44</v>
      </c>
    </row>
    <row r="29" spans="1:5" x14ac:dyDescent="0.25">
      <c r="A29" s="499" t="s">
        <v>119</v>
      </c>
      <c r="B29" s="499" t="s">
        <v>120</v>
      </c>
      <c r="C29" s="501">
        <v>1901.66</v>
      </c>
      <c r="D29" s="501">
        <v>468.4</v>
      </c>
      <c r="E29" s="501">
        <v>2370.06</v>
      </c>
    </row>
    <row r="30" spans="1:5" x14ac:dyDescent="0.25">
      <c r="A30" s="499" t="s">
        <v>121</v>
      </c>
      <c r="B30" s="499" t="s">
        <v>122</v>
      </c>
      <c r="C30" s="501">
        <v>1123.78</v>
      </c>
      <c r="D30" s="501">
        <v>276.8</v>
      </c>
      <c r="E30" s="501">
        <v>1400.58</v>
      </c>
    </row>
    <row r="31" spans="1:5" x14ac:dyDescent="0.25">
      <c r="A31" s="499" t="s">
        <v>123</v>
      </c>
      <c r="B31" s="499" t="s">
        <v>124</v>
      </c>
      <c r="C31" s="501">
        <v>56.03</v>
      </c>
      <c r="D31" s="501">
        <v>13.8</v>
      </c>
      <c r="E31" s="501">
        <v>69.83</v>
      </c>
    </row>
    <row r="32" spans="1:5" x14ac:dyDescent="0.25">
      <c r="A32" s="502" t="s">
        <v>125</v>
      </c>
      <c r="B32" s="503"/>
      <c r="C32" s="504">
        <v>4059.9100000000003</v>
      </c>
      <c r="D32" s="504">
        <v>1000</v>
      </c>
      <c r="E32" s="504">
        <v>5059.91</v>
      </c>
    </row>
    <row r="34" spans="1:8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8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8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8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8" x14ac:dyDescent="0.25">
      <c r="A38" s="502" t="s">
        <v>325</v>
      </c>
      <c r="B38" s="503"/>
      <c r="C38" s="504">
        <v>0</v>
      </c>
      <c r="D38" s="504">
        <v>0</v>
      </c>
      <c r="E38" s="504">
        <v>0</v>
      </c>
    </row>
    <row r="40" spans="1:8" x14ac:dyDescent="0.25">
      <c r="A40" s="499" t="s">
        <v>126</v>
      </c>
      <c r="B40" s="499" t="s">
        <v>347</v>
      </c>
      <c r="C40" s="501">
        <v>-112309.29</v>
      </c>
      <c r="D40" s="501">
        <v>-102073.38</v>
      </c>
      <c r="E40" s="501">
        <v>-214382.67</v>
      </c>
      <c r="G40" s="505"/>
      <c r="H40" s="505"/>
    </row>
    <row r="41" spans="1:8" x14ac:dyDescent="0.25">
      <c r="A41" s="499" t="s">
        <v>128</v>
      </c>
      <c r="B41" s="499" t="s">
        <v>348</v>
      </c>
      <c r="C41" s="501">
        <v>-8094610.0099999998</v>
      </c>
      <c r="D41" s="501">
        <v>-198386.6</v>
      </c>
      <c r="E41" s="501">
        <v>-8292996.6100000003</v>
      </c>
      <c r="G41" s="505"/>
      <c r="H41" s="505"/>
    </row>
    <row r="42" spans="1:8" x14ac:dyDescent="0.25">
      <c r="A42" s="499" t="s">
        <v>130</v>
      </c>
      <c r="B42" s="499" t="s">
        <v>349</v>
      </c>
      <c r="C42" s="501">
        <v>-129095.99</v>
      </c>
      <c r="D42" s="501">
        <v>-117236.15</v>
      </c>
      <c r="E42" s="501">
        <v>-246332.14</v>
      </c>
      <c r="G42" s="505"/>
      <c r="H42" s="505"/>
    </row>
    <row r="43" spans="1:8" x14ac:dyDescent="0.25">
      <c r="A43" s="499" t="s">
        <v>132</v>
      </c>
      <c r="B43" s="499" t="s">
        <v>350</v>
      </c>
      <c r="C43" s="501">
        <v>-6432.03</v>
      </c>
      <c r="D43" s="501">
        <v>-5844.87</v>
      </c>
      <c r="E43" s="501">
        <v>-12276.9</v>
      </c>
      <c r="G43" s="505"/>
      <c r="H43" s="505"/>
    </row>
    <row r="44" spans="1:8" x14ac:dyDescent="0.25">
      <c r="A44" s="502" t="s">
        <v>134</v>
      </c>
      <c r="B44" s="503"/>
      <c r="C44" s="504">
        <v>-8342447.3200000003</v>
      </c>
      <c r="D44" s="504">
        <v>-423541</v>
      </c>
      <c r="E44" s="504">
        <v>-8765988.3200000022</v>
      </c>
      <c r="G44" s="506"/>
      <c r="H44" s="506"/>
    </row>
    <row r="46" spans="1:8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8" x14ac:dyDescent="0.25">
      <c r="A47" s="499" t="s">
        <v>328</v>
      </c>
      <c r="B47" s="499" t="s">
        <v>329</v>
      </c>
      <c r="C47" s="501">
        <v>-2414846</v>
      </c>
      <c r="D47" s="501">
        <v>-9394050</v>
      </c>
      <c r="E47" s="501">
        <v>-11808896</v>
      </c>
    </row>
    <row r="48" spans="1:8" x14ac:dyDescent="0.25">
      <c r="A48" s="499" t="s">
        <v>330</v>
      </c>
      <c r="B48" s="499" t="s">
        <v>331</v>
      </c>
      <c r="C48" s="501">
        <v>-606676</v>
      </c>
      <c r="D48" s="501">
        <v>91716431</v>
      </c>
      <c r="E48" s="501">
        <v>91109755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v>-3021522</v>
      </c>
      <c r="D50" s="504">
        <v>82322381</v>
      </c>
      <c r="E50" s="504">
        <v>79300859</v>
      </c>
    </row>
    <row r="52" spans="1:5" x14ac:dyDescent="0.25">
      <c r="A52" s="499" t="s">
        <v>135</v>
      </c>
      <c r="B52" s="499" t="s">
        <v>136</v>
      </c>
      <c r="C52" s="501">
        <v>-316035230.81</v>
      </c>
      <c r="D52" s="501">
        <v>-125443588.8</v>
      </c>
      <c r="E52" s="501">
        <v>-441478819.61000001</v>
      </c>
    </row>
    <row r="53" spans="1:5" x14ac:dyDescent="0.25">
      <c r="A53" s="499" t="s">
        <v>137</v>
      </c>
      <c r="B53" s="499" t="s">
        <v>138</v>
      </c>
      <c r="C53" s="501">
        <v>-339423775</v>
      </c>
      <c r="D53" s="501">
        <v>-363477687.88</v>
      </c>
      <c r="E53" s="501">
        <v>-702901462.88</v>
      </c>
    </row>
    <row r="54" spans="1:5" x14ac:dyDescent="0.25">
      <c r="A54" s="499" t="s">
        <v>139</v>
      </c>
      <c r="B54" s="499" t="s">
        <v>140</v>
      </c>
      <c r="C54" s="501">
        <v>-255616281</v>
      </c>
      <c r="D54" s="501">
        <v>-166678410</v>
      </c>
      <c r="E54" s="501">
        <v>-422294691</v>
      </c>
    </row>
    <row r="55" spans="1:5" x14ac:dyDescent="0.25">
      <c r="A55" s="499" t="s">
        <v>141</v>
      </c>
      <c r="B55" s="499" t="s">
        <v>142</v>
      </c>
      <c r="C55" s="501">
        <v>-9441381.7200000007</v>
      </c>
      <c r="D55" s="501">
        <v>-10407080.85</v>
      </c>
      <c r="E55" s="501">
        <v>-19848462.57</v>
      </c>
    </row>
    <row r="56" spans="1:5" x14ac:dyDescent="0.25">
      <c r="A56" s="502" t="s">
        <v>143</v>
      </c>
      <c r="B56" s="503"/>
      <c r="C56" s="504">
        <v>-920516668.52999997</v>
      </c>
      <c r="D56" s="504">
        <v>-666006767.53000009</v>
      </c>
      <c r="E56" s="504">
        <v>-1586523436.0599999</v>
      </c>
    </row>
    <row r="58" spans="1:5" x14ac:dyDescent="0.25">
      <c r="A58" s="499" t="s">
        <v>351</v>
      </c>
      <c r="B58" s="499" t="s">
        <v>352</v>
      </c>
      <c r="C58" s="501">
        <v>6891229.9900000002</v>
      </c>
      <c r="D58" s="501">
        <v>297075.15999999997</v>
      </c>
      <c r="E58" s="501">
        <v>7188305.1500000004</v>
      </c>
    </row>
    <row r="59" spans="1:5" x14ac:dyDescent="0.25">
      <c r="A59" s="499" t="s">
        <v>353</v>
      </c>
      <c r="B59" s="499" t="s">
        <v>354</v>
      </c>
      <c r="C59" s="501">
        <v>0</v>
      </c>
      <c r="D59" s="501">
        <v>0</v>
      </c>
      <c r="E59" s="501">
        <v>0</v>
      </c>
    </row>
    <row r="60" spans="1:5" x14ac:dyDescent="0.25">
      <c r="C60" s="501">
        <v>6891229.9900000002</v>
      </c>
      <c r="D60" s="501">
        <v>297075.15999999997</v>
      </c>
      <c r="E60" s="501">
        <v>7188305.1500000004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v>0</v>
      </c>
      <c r="D70" s="504">
        <v>0</v>
      </c>
      <c r="E70" s="504">
        <v>0</v>
      </c>
    </row>
    <row r="72" spans="1:5" x14ac:dyDescent="0.25">
      <c r="A72" s="499" t="s">
        <v>151</v>
      </c>
      <c r="B72" s="499" t="s">
        <v>40</v>
      </c>
      <c r="C72" s="501">
        <v>-6545008.0999999996</v>
      </c>
      <c r="D72" s="501">
        <v>-5333583.5999999996</v>
      </c>
      <c r="E72" s="501">
        <v>-11878591.699999999</v>
      </c>
    </row>
    <row r="73" spans="1:5" x14ac:dyDescent="0.25">
      <c r="A73" s="499" t="s">
        <v>152</v>
      </c>
      <c r="B73" s="499" t="s">
        <v>41</v>
      </c>
      <c r="C73" s="501">
        <v>-1744252.72</v>
      </c>
      <c r="D73" s="501">
        <v>-1555207.84</v>
      </c>
      <c r="E73" s="501">
        <v>-3299460.56</v>
      </c>
    </row>
    <row r="74" spans="1:5" x14ac:dyDescent="0.25">
      <c r="A74" s="499" t="s">
        <v>153</v>
      </c>
      <c r="B74" s="499" t="s">
        <v>42</v>
      </c>
      <c r="C74" s="501">
        <v>-831637.86</v>
      </c>
      <c r="D74" s="501">
        <v>-707264.39</v>
      </c>
      <c r="E74" s="501">
        <v>-1538902.25</v>
      </c>
    </row>
    <row r="75" spans="1:5" x14ac:dyDescent="0.25">
      <c r="A75" s="499" t="s">
        <v>154</v>
      </c>
      <c r="B75" s="499" t="s">
        <v>43</v>
      </c>
      <c r="C75" s="501">
        <v>-1919275.35</v>
      </c>
      <c r="D75" s="501">
        <v>-1065987.93</v>
      </c>
      <c r="E75" s="501">
        <v>-2985263.28</v>
      </c>
    </row>
    <row r="76" spans="1:5" x14ac:dyDescent="0.25">
      <c r="A76" s="502" t="s">
        <v>155</v>
      </c>
      <c r="B76" s="503"/>
      <c r="C76" s="504">
        <v>-11040174.029999999</v>
      </c>
      <c r="D76" s="504">
        <v>-8662043.7599999998</v>
      </c>
      <c r="E76" s="504">
        <v>-19702217.789999999</v>
      </c>
    </row>
    <row r="78" spans="1:5" x14ac:dyDescent="0.25">
      <c r="A78" s="499" t="s">
        <v>156</v>
      </c>
      <c r="B78" s="499" t="s">
        <v>157</v>
      </c>
      <c r="C78" s="501">
        <v>1432964.12</v>
      </c>
      <c r="D78" s="501">
        <v>1416507.72</v>
      </c>
      <c r="E78" s="501">
        <v>2849471.84</v>
      </c>
    </row>
    <row r="79" spans="1:5" x14ac:dyDescent="0.25">
      <c r="A79" s="499" t="s">
        <v>158</v>
      </c>
      <c r="B79" s="499" t="s">
        <v>159</v>
      </c>
      <c r="C79" s="501">
        <v>505119</v>
      </c>
      <c r="D79" s="501">
        <v>501504.77</v>
      </c>
      <c r="E79" s="501">
        <v>1006623.77</v>
      </c>
    </row>
    <row r="80" spans="1:5" x14ac:dyDescent="0.25">
      <c r="A80" s="499" t="s">
        <v>160</v>
      </c>
      <c r="B80" s="499" t="s">
        <v>161</v>
      </c>
      <c r="C80" s="501">
        <v>74740.960000000006</v>
      </c>
      <c r="D80" s="501">
        <v>75799.28</v>
      </c>
      <c r="E80" s="501">
        <v>150540.24</v>
      </c>
    </row>
    <row r="81" spans="1:5" x14ac:dyDescent="0.25">
      <c r="A81" s="499" t="s">
        <v>162</v>
      </c>
      <c r="B81" s="499" t="s">
        <v>163</v>
      </c>
      <c r="C81" s="501">
        <v>210445.25</v>
      </c>
      <c r="D81" s="501">
        <v>207903.35</v>
      </c>
      <c r="E81" s="501">
        <v>418348.6</v>
      </c>
    </row>
    <row r="82" spans="1:5" x14ac:dyDescent="0.25">
      <c r="A82" s="502" t="s">
        <v>164</v>
      </c>
      <c r="B82" s="503"/>
      <c r="C82" s="504">
        <v>2223269.33</v>
      </c>
      <c r="D82" s="504">
        <v>2201715.12</v>
      </c>
      <c r="E82" s="504">
        <v>4424984.4499999993</v>
      </c>
    </row>
    <row r="84" spans="1:5" x14ac:dyDescent="0.25">
      <c r="A84" s="502" t="s">
        <v>31</v>
      </c>
      <c r="B84" s="503"/>
      <c r="C84" s="504">
        <v>-215803921.97000009</v>
      </c>
      <c r="D84" s="504">
        <v>286605657.55999988</v>
      </c>
      <c r="E84" s="504">
        <v>70801735.590000212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55" workbookViewId="0">
      <selection activeCell="C86" sqref="C86:D89"/>
    </sheetView>
  </sheetViews>
  <sheetFormatPr defaultRowHeight="13.2" x14ac:dyDescent="0.25"/>
  <cols>
    <col min="1" max="1" width="31.44140625" customWidth="1"/>
    <col min="2" max="2" width="31.44140625" bestFit="1" customWidth="1"/>
    <col min="3" max="3" width="15" bestFit="1" customWidth="1"/>
    <col min="4" max="4" width="16.5546875" bestFit="1" customWidth="1"/>
    <col min="5" max="5" width="31.44140625" customWidth="1"/>
  </cols>
  <sheetData>
    <row r="1" spans="1:5" ht="14.4" x14ac:dyDescent="0.3">
      <c r="A1" s="252"/>
      <c r="B1" s="523" t="s">
        <v>53</v>
      </c>
      <c r="C1" s="510"/>
      <c r="D1" s="510"/>
      <c r="E1" s="252"/>
    </row>
    <row r="2" spans="1:5" ht="14.4" x14ac:dyDescent="0.3">
      <c r="A2" s="252"/>
      <c r="B2" s="524" t="s">
        <v>86</v>
      </c>
      <c r="C2" s="512"/>
      <c r="D2" s="512"/>
      <c r="E2" s="252"/>
    </row>
    <row r="3" spans="1:5" ht="14.4" x14ac:dyDescent="0.3">
      <c r="A3" s="252"/>
      <c r="B3" s="523" t="s">
        <v>379</v>
      </c>
      <c r="C3" s="510"/>
      <c r="D3" s="510"/>
      <c r="E3" s="252"/>
    </row>
    <row r="4" spans="1:5" ht="14.4" x14ac:dyDescent="0.3">
      <c r="A4" s="252"/>
      <c r="B4" s="523" t="s">
        <v>376</v>
      </c>
      <c r="C4" s="510"/>
      <c r="D4" s="510"/>
      <c r="E4" s="252"/>
    </row>
    <row r="5" spans="1:5" ht="14.4" x14ac:dyDescent="0.3">
      <c r="A5" s="252"/>
      <c r="B5" s="525" t="s">
        <v>380</v>
      </c>
      <c r="C5" s="514"/>
      <c r="D5" s="514"/>
      <c r="E5" s="252"/>
    </row>
    <row r="6" spans="1:5" ht="14.4" x14ac:dyDescent="0.3">
      <c r="A6" s="252"/>
      <c r="B6" s="252"/>
      <c r="C6" s="252"/>
      <c r="D6" s="252"/>
      <c r="E6" s="252"/>
    </row>
    <row r="7" spans="1:5" ht="14.4" x14ac:dyDescent="0.3">
      <c r="A7" s="252"/>
      <c r="B7" s="526" t="s">
        <v>30</v>
      </c>
      <c r="C7" s="516" t="s">
        <v>177</v>
      </c>
      <c r="D7" s="516" t="s">
        <v>92</v>
      </c>
      <c r="E7" s="252"/>
    </row>
    <row r="8" spans="1:5" ht="14.4" x14ac:dyDescent="0.3">
      <c r="A8" s="252"/>
      <c r="B8" s="252"/>
      <c r="C8" s="252"/>
      <c r="D8" s="252"/>
      <c r="E8" s="252"/>
    </row>
    <row r="9" spans="1:5" ht="14.4" x14ac:dyDescent="0.3">
      <c r="A9" s="527" t="s">
        <v>93</v>
      </c>
      <c r="B9" s="527" t="s">
        <v>34</v>
      </c>
      <c r="C9" s="518">
        <v>193758022.12</v>
      </c>
      <c r="D9" s="518">
        <v>1167334396.04</v>
      </c>
      <c r="E9" s="527"/>
    </row>
    <row r="10" spans="1:5" ht="14.4" x14ac:dyDescent="0.3">
      <c r="A10" s="527" t="s">
        <v>94</v>
      </c>
      <c r="B10" s="527" t="s">
        <v>35</v>
      </c>
      <c r="C10" s="519">
        <v>376252448.37</v>
      </c>
      <c r="D10" s="519">
        <v>2268209590.0700002</v>
      </c>
      <c r="E10" s="527"/>
    </row>
    <row r="11" spans="1:5" ht="14.4" x14ac:dyDescent="0.3">
      <c r="A11" s="527" t="s">
        <v>95</v>
      </c>
      <c r="B11" s="527" t="s">
        <v>36</v>
      </c>
      <c r="C11" s="519">
        <v>166181227.21000001</v>
      </c>
      <c r="D11" s="519">
        <v>1168582241.0599999</v>
      </c>
      <c r="E11" s="527"/>
    </row>
    <row r="12" spans="1:5" ht="14.4" x14ac:dyDescent="0.3">
      <c r="A12" s="527" t="s">
        <v>96</v>
      </c>
      <c r="B12" s="527" t="s">
        <v>37</v>
      </c>
      <c r="C12" s="519">
        <v>9980770.3100000005</v>
      </c>
      <c r="D12" s="519">
        <v>63699395.829999998</v>
      </c>
      <c r="E12" s="527"/>
    </row>
    <row r="13" spans="1:5" ht="14.4" x14ac:dyDescent="0.3">
      <c r="A13" s="527" t="s">
        <v>97</v>
      </c>
      <c r="B13" s="527" t="s">
        <v>38</v>
      </c>
      <c r="C13" s="519">
        <v>0</v>
      </c>
      <c r="D13" s="519">
        <v>0</v>
      </c>
      <c r="E13" s="527"/>
    </row>
    <row r="14" spans="1:5" x14ac:dyDescent="0.25">
      <c r="A14" s="528" t="s">
        <v>98</v>
      </c>
      <c r="B14" s="529"/>
      <c r="C14" s="522">
        <v>746172468.00999999</v>
      </c>
      <c r="D14" s="522">
        <v>4667825623</v>
      </c>
      <c r="E14" s="528"/>
    </row>
    <row r="15" spans="1:5" ht="14.4" x14ac:dyDescent="0.3">
      <c r="A15" s="252"/>
      <c r="B15" s="252"/>
      <c r="C15" s="252"/>
      <c r="D15" s="252"/>
      <c r="E15" s="252"/>
    </row>
    <row r="16" spans="1:5" ht="14.4" x14ac:dyDescent="0.3">
      <c r="A16" s="527" t="s">
        <v>99</v>
      </c>
      <c r="B16" s="527" t="s">
        <v>100</v>
      </c>
      <c r="C16" s="519">
        <v>188691.94</v>
      </c>
      <c r="D16" s="519">
        <v>1233732.01</v>
      </c>
      <c r="E16" s="527"/>
    </row>
    <row r="17" spans="1:5" ht="14.4" x14ac:dyDescent="0.3">
      <c r="A17" s="527" t="s">
        <v>101</v>
      </c>
      <c r="B17" s="527" t="s">
        <v>102</v>
      </c>
      <c r="C17" s="519">
        <v>366498.13</v>
      </c>
      <c r="D17" s="519">
        <v>2397396.4500000002</v>
      </c>
      <c r="E17" s="527"/>
    </row>
    <row r="18" spans="1:5" ht="14.4" x14ac:dyDescent="0.3">
      <c r="A18" s="527" t="s">
        <v>103</v>
      </c>
      <c r="B18" s="527" t="s">
        <v>104</v>
      </c>
      <c r="C18" s="519">
        <v>263079.89</v>
      </c>
      <c r="D18" s="519">
        <v>1643964.64</v>
      </c>
      <c r="E18" s="527"/>
    </row>
    <row r="19" spans="1:5" ht="14.4" x14ac:dyDescent="0.3">
      <c r="A19" s="527" t="s">
        <v>105</v>
      </c>
      <c r="B19" s="527" t="s">
        <v>106</v>
      </c>
      <c r="C19" s="519">
        <v>9380.5</v>
      </c>
      <c r="D19" s="519">
        <v>64213.54</v>
      </c>
      <c r="E19" s="527"/>
    </row>
    <row r="20" spans="1:5" x14ac:dyDescent="0.25">
      <c r="A20" s="528" t="s">
        <v>107</v>
      </c>
      <c r="B20" s="529"/>
      <c r="C20" s="522">
        <v>827650.46000000008</v>
      </c>
      <c r="D20" s="522">
        <v>5339306.6399999997</v>
      </c>
      <c r="E20" s="528"/>
    </row>
    <row r="21" spans="1:5" ht="14.4" x14ac:dyDescent="0.3">
      <c r="A21" s="252"/>
      <c r="B21" s="252"/>
      <c r="C21" s="252"/>
      <c r="D21" s="252"/>
      <c r="E21" s="252"/>
    </row>
    <row r="22" spans="1:5" ht="14.4" x14ac:dyDescent="0.3">
      <c r="A22" s="527" t="s">
        <v>108</v>
      </c>
      <c r="B22" s="527" t="s">
        <v>109</v>
      </c>
      <c r="C22" s="519">
        <v>58014.83</v>
      </c>
      <c r="D22" s="519">
        <v>302282.53999999998</v>
      </c>
      <c r="E22" s="527"/>
    </row>
    <row r="23" spans="1:5" ht="14.4" x14ac:dyDescent="0.3">
      <c r="A23" s="527" t="s">
        <v>110</v>
      </c>
      <c r="B23" s="527" t="s">
        <v>111</v>
      </c>
      <c r="C23" s="519">
        <v>112634.21</v>
      </c>
      <c r="D23" s="519">
        <v>587066.53</v>
      </c>
      <c r="E23" s="527"/>
    </row>
    <row r="24" spans="1:5" ht="14.4" x14ac:dyDescent="0.3">
      <c r="A24" s="527" t="s">
        <v>112</v>
      </c>
      <c r="B24" s="527" t="s">
        <v>113</v>
      </c>
      <c r="C24" s="519">
        <v>49749.39</v>
      </c>
      <c r="D24" s="519">
        <v>286061.07</v>
      </c>
      <c r="E24" s="527"/>
    </row>
    <row r="25" spans="1:5" ht="14.4" x14ac:dyDescent="0.3">
      <c r="A25" s="527" t="s">
        <v>114</v>
      </c>
      <c r="B25" s="527" t="s">
        <v>115</v>
      </c>
      <c r="C25" s="519">
        <v>2993.41</v>
      </c>
      <c r="D25" s="519">
        <v>16119.43</v>
      </c>
      <c r="E25" s="527"/>
    </row>
    <row r="26" spans="1:5" x14ac:dyDescent="0.25">
      <c r="A26" s="528" t="s">
        <v>116</v>
      </c>
      <c r="B26" s="529"/>
      <c r="C26" s="522">
        <v>223391.84</v>
      </c>
      <c r="D26" s="522">
        <v>1191529.57</v>
      </c>
      <c r="E26" s="528"/>
    </row>
    <row r="27" spans="1:5" ht="14.4" x14ac:dyDescent="0.3">
      <c r="A27" s="252"/>
      <c r="B27" s="252"/>
      <c r="C27" s="252"/>
      <c r="D27" s="252"/>
      <c r="E27" s="252"/>
    </row>
    <row r="28" spans="1:5" ht="14.4" x14ac:dyDescent="0.3">
      <c r="A28" s="527" t="s">
        <v>117</v>
      </c>
      <c r="B28" s="527" t="s">
        <v>118</v>
      </c>
      <c r="C28" s="519">
        <v>259.7</v>
      </c>
      <c r="D28" s="519">
        <v>2222.4699999999998</v>
      </c>
      <c r="E28" s="527"/>
    </row>
    <row r="29" spans="1:5" ht="14.4" x14ac:dyDescent="0.3">
      <c r="A29" s="527" t="s">
        <v>119</v>
      </c>
      <c r="B29" s="527" t="s">
        <v>120</v>
      </c>
      <c r="C29" s="519">
        <v>504.2</v>
      </c>
      <c r="D29" s="519">
        <v>4317.41</v>
      </c>
      <c r="E29" s="527"/>
    </row>
    <row r="30" spans="1:5" ht="14.4" x14ac:dyDescent="0.3">
      <c r="A30" s="527" t="s">
        <v>121</v>
      </c>
      <c r="B30" s="527" t="s">
        <v>122</v>
      </c>
      <c r="C30" s="519">
        <v>222.7</v>
      </c>
      <c r="D30" s="519">
        <v>2260.71</v>
      </c>
      <c r="E30" s="527"/>
    </row>
    <row r="31" spans="1:5" ht="14.4" x14ac:dyDescent="0.3">
      <c r="A31" s="527" t="s">
        <v>123</v>
      </c>
      <c r="B31" s="527" t="s">
        <v>124</v>
      </c>
      <c r="C31" s="519">
        <v>13.4</v>
      </c>
      <c r="D31" s="519">
        <v>121.58</v>
      </c>
      <c r="E31" s="527"/>
    </row>
    <row r="32" spans="1:5" x14ac:dyDescent="0.25">
      <c r="A32" s="528" t="s">
        <v>125</v>
      </c>
      <c r="B32" s="529"/>
      <c r="C32" s="522">
        <v>999.99999999999989</v>
      </c>
      <c r="D32" s="522">
        <v>8922.17</v>
      </c>
      <c r="E32" s="528"/>
    </row>
    <row r="33" spans="1:5" ht="14.4" x14ac:dyDescent="0.3">
      <c r="A33" s="252"/>
      <c r="B33" s="252"/>
      <c r="C33" s="252"/>
      <c r="D33" s="252"/>
      <c r="E33" s="252"/>
    </row>
    <row r="34" spans="1:5" ht="14.4" x14ac:dyDescent="0.3">
      <c r="A34" s="527" t="s">
        <v>317</v>
      </c>
      <c r="B34" s="527" t="s">
        <v>318</v>
      </c>
      <c r="C34" s="519">
        <v>0</v>
      </c>
      <c r="D34" s="519">
        <v>0</v>
      </c>
      <c r="E34" s="527"/>
    </row>
    <row r="35" spans="1:5" ht="14.4" x14ac:dyDescent="0.3">
      <c r="A35" s="527" t="s">
        <v>319</v>
      </c>
      <c r="B35" s="527" t="s">
        <v>320</v>
      </c>
      <c r="C35" s="519">
        <v>0</v>
      </c>
      <c r="D35" s="519">
        <v>0</v>
      </c>
      <c r="E35" s="527"/>
    </row>
    <row r="36" spans="1:5" ht="14.4" x14ac:dyDescent="0.3">
      <c r="A36" s="527" t="s">
        <v>321</v>
      </c>
      <c r="B36" s="527" t="s">
        <v>322</v>
      </c>
      <c r="C36" s="519">
        <v>0</v>
      </c>
      <c r="D36" s="519">
        <v>0</v>
      </c>
      <c r="E36" s="527"/>
    </row>
    <row r="37" spans="1:5" ht="14.4" x14ac:dyDescent="0.3">
      <c r="A37" s="527" t="s">
        <v>323</v>
      </c>
      <c r="B37" s="527" t="s">
        <v>324</v>
      </c>
      <c r="C37" s="519">
        <v>0</v>
      </c>
      <c r="D37" s="519">
        <v>0</v>
      </c>
      <c r="E37" s="527"/>
    </row>
    <row r="38" spans="1:5" x14ac:dyDescent="0.25">
      <c r="A38" s="528" t="s">
        <v>325</v>
      </c>
      <c r="B38" s="529"/>
      <c r="C38" s="522">
        <v>0</v>
      </c>
      <c r="D38" s="522">
        <v>0</v>
      </c>
      <c r="E38" s="528"/>
    </row>
    <row r="39" spans="1:5" ht="14.4" x14ac:dyDescent="0.3">
      <c r="A39" s="252"/>
      <c r="B39" s="252"/>
      <c r="C39" s="252"/>
      <c r="D39" s="252"/>
      <c r="E39" s="252"/>
    </row>
    <row r="40" spans="1:5" ht="14.4" x14ac:dyDescent="0.3">
      <c r="A40" s="527" t="s">
        <v>126</v>
      </c>
      <c r="B40" s="527" t="s">
        <v>347</v>
      </c>
      <c r="C40" s="519">
        <v>2635986.9300000002</v>
      </c>
      <c r="D40" s="519">
        <v>1521670.1</v>
      </c>
      <c r="E40" s="527"/>
    </row>
    <row r="41" spans="1:5" ht="14.4" x14ac:dyDescent="0.3">
      <c r="A41" s="527" t="s">
        <v>128</v>
      </c>
      <c r="B41" s="527" t="s">
        <v>348</v>
      </c>
      <c r="C41" s="519">
        <v>5117691.9800000004</v>
      </c>
      <c r="D41" s="519">
        <v>-7185040.2699999996</v>
      </c>
      <c r="E41" s="527"/>
    </row>
    <row r="42" spans="1:5" ht="14.4" x14ac:dyDescent="0.3">
      <c r="A42" s="527" t="s">
        <v>130</v>
      </c>
      <c r="B42" s="527" t="s">
        <v>349</v>
      </c>
      <c r="C42" s="519">
        <v>2458655.35</v>
      </c>
      <c r="D42" s="519">
        <v>1017929.68</v>
      </c>
      <c r="E42" s="527"/>
    </row>
    <row r="43" spans="1:5" ht="14.4" x14ac:dyDescent="0.3">
      <c r="A43" s="527" t="s">
        <v>132</v>
      </c>
      <c r="B43" s="527" t="s">
        <v>350</v>
      </c>
      <c r="C43" s="519">
        <v>136011.67000000001</v>
      </c>
      <c r="D43" s="519">
        <v>72141.22</v>
      </c>
      <c r="E43" s="527"/>
    </row>
    <row r="44" spans="1:5" x14ac:dyDescent="0.25">
      <c r="A44" s="528" t="s">
        <v>134</v>
      </c>
      <c r="B44" s="529"/>
      <c r="C44" s="522">
        <v>10348345.93</v>
      </c>
      <c r="D44" s="522">
        <v>-4573299.2700000005</v>
      </c>
      <c r="E44" s="528"/>
    </row>
    <row r="45" spans="1:5" ht="14.4" x14ac:dyDescent="0.3">
      <c r="A45" s="252"/>
      <c r="B45" s="252"/>
      <c r="C45" s="252"/>
      <c r="D45" s="252"/>
      <c r="E45" s="252"/>
    </row>
    <row r="46" spans="1:5" ht="14.4" x14ac:dyDescent="0.3">
      <c r="A46" s="527" t="s">
        <v>326</v>
      </c>
      <c r="B46" s="527" t="s">
        <v>327</v>
      </c>
      <c r="C46" s="519">
        <v>0</v>
      </c>
      <c r="D46" s="519">
        <v>0</v>
      </c>
      <c r="E46" s="527"/>
    </row>
    <row r="47" spans="1:5" ht="14.4" x14ac:dyDescent="0.3">
      <c r="A47" s="527" t="s">
        <v>328</v>
      </c>
      <c r="B47" s="527" t="s">
        <v>329</v>
      </c>
      <c r="C47" s="519">
        <v>7541566</v>
      </c>
      <c r="D47" s="519">
        <v>26360437</v>
      </c>
      <c r="E47" s="527"/>
    </row>
    <row r="48" spans="1:5" ht="14.4" x14ac:dyDescent="0.3">
      <c r="A48" s="527" t="s">
        <v>330</v>
      </c>
      <c r="B48" s="527" t="s">
        <v>331</v>
      </c>
      <c r="C48" s="519">
        <v>9047468</v>
      </c>
      <c r="D48" s="519">
        <v>112941238</v>
      </c>
      <c r="E48" s="527"/>
    </row>
    <row r="49" spans="1:5" ht="14.4" x14ac:dyDescent="0.3">
      <c r="A49" s="527" t="s">
        <v>332</v>
      </c>
      <c r="B49" s="527" t="s">
        <v>333</v>
      </c>
      <c r="C49" s="519">
        <v>0</v>
      </c>
      <c r="D49" s="519">
        <v>0</v>
      </c>
      <c r="E49" s="527"/>
    </row>
    <row r="50" spans="1:5" x14ac:dyDescent="0.25">
      <c r="A50" s="528" t="s">
        <v>334</v>
      </c>
      <c r="B50" s="529"/>
      <c r="C50" s="522">
        <v>16589034</v>
      </c>
      <c r="D50" s="522">
        <v>139301675</v>
      </c>
      <c r="E50" s="528"/>
    </row>
    <row r="51" spans="1:5" ht="14.4" x14ac:dyDescent="0.3">
      <c r="A51" s="252"/>
      <c r="B51" s="252"/>
      <c r="C51" s="252"/>
      <c r="D51" s="252"/>
      <c r="E51" s="252"/>
    </row>
    <row r="52" spans="1:5" ht="14.4" x14ac:dyDescent="0.3">
      <c r="A52" s="527" t="s">
        <v>135</v>
      </c>
      <c r="B52" s="527" t="s">
        <v>136</v>
      </c>
      <c r="C52" s="519">
        <v>-139280763.31</v>
      </c>
      <c r="D52" s="519">
        <v>-1018556134.29</v>
      </c>
      <c r="E52" s="527"/>
    </row>
    <row r="53" spans="1:5" ht="14.4" x14ac:dyDescent="0.3">
      <c r="A53" s="527" t="s">
        <v>137</v>
      </c>
      <c r="B53" s="527" t="s">
        <v>138</v>
      </c>
      <c r="C53" s="519">
        <v>-315558337.54000002</v>
      </c>
      <c r="D53" s="519">
        <v>-2036627538.1600001</v>
      </c>
      <c r="E53" s="527"/>
    </row>
    <row r="54" spans="1:5" ht="14.4" x14ac:dyDescent="0.3">
      <c r="A54" s="527" t="s">
        <v>139</v>
      </c>
      <c r="B54" s="527" t="s">
        <v>140</v>
      </c>
      <c r="C54" s="519">
        <v>-142262930.81</v>
      </c>
      <c r="D54" s="519">
        <v>-1080392039.9100001</v>
      </c>
      <c r="E54" s="527"/>
    </row>
    <row r="55" spans="1:5" ht="14.4" x14ac:dyDescent="0.3">
      <c r="A55" s="527" t="s">
        <v>141</v>
      </c>
      <c r="B55" s="527" t="s">
        <v>142</v>
      </c>
      <c r="C55" s="519">
        <v>-8211795.2699999996</v>
      </c>
      <c r="D55" s="519">
        <v>-53107946.869999997</v>
      </c>
      <c r="E55" s="527"/>
    </row>
    <row r="56" spans="1:5" x14ac:dyDescent="0.25">
      <c r="A56" s="528" t="s">
        <v>143</v>
      </c>
      <c r="B56" s="529"/>
      <c r="C56" s="522">
        <v>-605313826.93000007</v>
      </c>
      <c r="D56" s="522">
        <v>-4188683659.2299995</v>
      </c>
      <c r="E56" s="528"/>
    </row>
    <row r="57" spans="1:5" ht="14.4" x14ac:dyDescent="0.3">
      <c r="A57" s="252"/>
      <c r="B57" s="252"/>
      <c r="C57" s="252"/>
      <c r="D57" s="252"/>
      <c r="E57" s="252"/>
    </row>
    <row r="58" spans="1:5" ht="14.4" x14ac:dyDescent="0.3">
      <c r="A58" s="527" t="s">
        <v>351</v>
      </c>
      <c r="B58" s="527" t="s">
        <v>352</v>
      </c>
      <c r="C58" s="519">
        <v>1762697.3</v>
      </c>
      <c r="D58" s="519">
        <v>13902719.220000001</v>
      </c>
      <c r="E58" s="527"/>
    </row>
    <row r="59" spans="1:5" ht="14.4" x14ac:dyDescent="0.3">
      <c r="A59" s="527" t="s">
        <v>353</v>
      </c>
      <c r="B59" s="527" t="s">
        <v>354</v>
      </c>
      <c r="C59" s="519">
        <v>0</v>
      </c>
      <c r="D59" s="519">
        <v>0</v>
      </c>
      <c r="E59" s="527"/>
    </row>
    <row r="60" spans="1:5" ht="14.4" x14ac:dyDescent="0.3">
      <c r="A60" s="252"/>
      <c r="B60" s="252"/>
      <c r="C60" s="519">
        <v>1762697.3</v>
      </c>
      <c r="D60" s="519">
        <v>13902719.220000001</v>
      </c>
      <c r="E60" s="252"/>
    </row>
    <row r="61" spans="1:5" ht="14.4" x14ac:dyDescent="0.3">
      <c r="A61" s="252"/>
      <c r="B61" s="252"/>
      <c r="C61" s="252"/>
      <c r="D61" s="252"/>
      <c r="E61" s="252"/>
    </row>
    <row r="62" spans="1:5" x14ac:dyDescent="0.25">
      <c r="A62" s="528" t="s">
        <v>144</v>
      </c>
      <c r="B62" s="528" t="s">
        <v>39</v>
      </c>
      <c r="C62" s="522">
        <v>0</v>
      </c>
      <c r="D62" s="522">
        <v>0</v>
      </c>
      <c r="E62" s="528"/>
    </row>
    <row r="63" spans="1:5" ht="14.4" x14ac:dyDescent="0.3">
      <c r="A63" s="527" t="s">
        <v>145</v>
      </c>
      <c r="B63" s="252"/>
      <c r="C63" s="519"/>
      <c r="D63" s="519"/>
      <c r="E63" s="527"/>
    </row>
    <row r="64" spans="1:5" ht="14.4" x14ac:dyDescent="0.3">
      <c r="A64" s="252"/>
      <c r="B64" s="252"/>
      <c r="C64" s="252"/>
      <c r="D64" s="252"/>
      <c r="E64" s="252"/>
    </row>
    <row r="65" spans="1:5" ht="14.4" x14ac:dyDescent="0.3">
      <c r="A65" s="252"/>
      <c r="B65" s="252"/>
      <c r="C65" s="252"/>
      <c r="D65" s="252"/>
      <c r="E65" s="252"/>
    </row>
    <row r="66" spans="1:5" ht="14.4" x14ac:dyDescent="0.3">
      <c r="A66" s="527" t="s">
        <v>146</v>
      </c>
      <c r="B66" s="527" t="s">
        <v>80</v>
      </c>
      <c r="C66" s="519">
        <v>0</v>
      </c>
      <c r="D66" s="519">
        <v>0</v>
      </c>
      <c r="E66" s="527"/>
    </row>
    <row r="67" spans="1:5" ht="14.4" x14ac:dyDescent="0.3">
      <c r="A67" s="527" t="s">
        <v>147</v>
      </c>
      <c r="B67" s="527" t="s">
        <v>81</v>
      </c>
      <c r="C67" s="519">
        <v>0</v>
      </c>
      <c r="D67" s="519">
        <v>0</v>
      </c>
      <c r="E67" s="527"/>
    </row>
    <row r="68" spans="1:5" ht="14.4" x14ac:dyDescent="0.3">
      <c r="A68" s="527" t="s">
        <v>148</v>
      </c>
      <c r="B68" s="527" t="s">
        <v>82</v>
      </c>
      <c r="C68" s="519">
        <v>0</v>
      </c>
      <c r="D68" s="519">
        <v>0</v>
      </c>
      <c r="E68" s="527"/>
    </row>
    <row r="69" spans="1:5" ht="14.4" x14ac:dyDescent="0.3">
      <c r="A69" s="527" t="s">
        <v>149</v>
      </c>
      <c r="B69" s="527" t="s">
        <v>83</v>
      </c>
      <c r="C69" s="519">
        <v>0</v>
      </c>
      <c r="D69" s="519">
        <v>0</v>
      </c>
      <c r="E69" s="527"/>
    </row>
    <row r="70" spans="1:5" x14ac:dyDescent="0.25">
      <c r="A70" s="528" t="s">
        <v>150</v>
      </c>
      <c r="B70" s="529"/>
      <c r="C70" s="522">
        <v>0</v>
      </c>
      <c r="D70" s="522">
        <v>0</v>
      </c>
      <c r="E70" s="528"/>
    </row>
    <row r="71" spans="1:5" ht="14.4" x14ac:dyDescent="0.3">
      <c r="A71" s="252"/>
      <c r="B71" s="252"/>
      <c r="C71" s="252"/>
      <c r="D71" s="252"/>
      <c r="E71" s="252"/>
    </row>
    <row r="72" spans="1:5" ht="14.4" x14ac:dyDescent="0.3">
      <c r="A72" s="527" t="s">
        <v>151</v>
      </c>
      <c r="B72" s="527" t="s">
        <v>40</v>
      </c>
      <c r="C72" s="519">
        <v>-5669683</v>
      </c>
      <c r="D72" s="519">
        <v>-34817694.420000002</v>
      </c>
      <c r="E72" s="527"/>
    </row>
    <row r="73" spans="1:5" ht="14.4" x14ac:dyDescent="0.3">
      <c r="A73" s="527" t="s">
        <v>152</v>
      </c>
      <c r="B73" s="527" t="s">
        <v>41</v>
      </c>
      <c r="C73" s="519">
        <v>-2445300.5299999998</v>
      </c>
      <c r="D73" s="519">
        <v>-11087098.33</v>
      </c>
      <c r="E73" s="527"/>
    </row>
    <row r="74" spans="1:5" ht="14.4" x14ac:dyDescent="0.3">
      <c r="A74" s="527" t="s">
        <v>153</v>
      </c>
      <c r="B74" s="527" t="s">
        <v>42</v>
      </c>
      <c r="C74" s="519">
        <v>-1104665.8899999999</v>
      </c>
      <c r="D74" s="519">
        <v>-5041409.21</v>
      </c>
      <c r="E74" s="527"/>
    </row>
    <row r="75" spans="1:5" ht="14.4" x14ac:dyDescent="0.3">
      <c r="A75" s="527" t="s">
        <v>154</v>
      </c>
      <c r="B75" s="527" t="s">
        <v>43</v>
      </c>
      <c r="C75" s="519">
        <v>-527023.65</v>
      </c>
      <c r="D75" s="519">
        <v>-6682902.5</v>
      </c>
      <c r="E75" s="527"/>
    </row>
    <row r="76" spans="1:5" x14ac:dyDescent="0.25">
      <c r="A76" s="528" t="s">
        <v>155</v>
      </c>
      <c r="B76" s="529"/>
      <c r="C76" s="522">
        <v>-9746673.0700000003</v>
      </c>
      <c r="D76" s="522">
        <v>-57629104.460000001</v>
      </c>
      <c r="E76" s="528"/>
    </row>
    <row r="77" spans="1:5" ht="14.4" x14ac:dyDescent="0.3">
      <c r="A77" s="252"/>
      <c r="B77" s="252"/>
      <c r="C77" s="252"/>
      <c r="D77" s="252"/>
      <c r="E77" s="252"/>
    </row>
    <row r="78" spans="1:5" ht="14.4" x14ac:dyDescent="0.3">
      <c r="A78" s="527" t="s">
        <v>156</v>
      </c>
      <c r="B78" s="527" t="s">
        <v>157</v>
      </c>
      <c r="C78" s="519">
        <v>1222739.72</v>
      </c>
      <c r="D78" s="519">
        <v>7958959.96</v>
      </c>
      <c r="E78" s="527"/>
    </row>
    <row r="79" spans="1:5" ht="14.4" x14ac:dyDescent="0.3">
      <c r="A79" s="527" t="s">
        <v>158</v>
      </c>
      <c r="B79" s="527" t="s">
        <v>159</v>
      </c>
      <c r="C79" s="519">
        <v>253589.9</v>
      </c>
      <c r="D79" s="519">
        <v>2250930.14</v>
      </c>
      <c r="E79" s="527"/>
    </row>
    <row r="80" spans="1:5" ht="14.4" x14ac:dyDescent="0.3">
      <c r="A80" s="527" t="s">
        <v>160</v>
      </c>
      <c r="B80" s="527" t="s">
        <v>161</v>
      </c>
      <c r="C80" s="519">
        <v>50937.53</v>
      </c>
      <c r="D80" s="519">
        <v>377132.45</v>
      </c>
      <c r="E80" s="527"/>
    </row>
    <row r="81" spans="1:5" ht="14.4" x14ac:dyDescent="0.3">
      <c r="A81" s="527" t="s">
        <v>162</v>
      </c>
      <c r="B81" s="527" t="s">
        <v>163</v>
      </c>
      <c r="C81" s="519">
        <v>87787.09</v>
      </c>
      <c r="D81" s="519">
        <v>881478.49</v>
      </c>
      <c r="E81" s="527"/>
    </row>
    <row r="82" spans="1:5" x14ac:dyDescent="0.25">
      <c r="A82" s="528" t="s">
        <v>164</v>
      </c>
      <c r="B82" s="529"/>
      <c r="C82" s="522">
        <v>1615054.24</v>
      </c>
      <c r="D82" s="522">
        <v>11468501.039999999</v>
      </c>
      <c r="E82" s="528"/>
    </row>
    <row r="83" spans="1:5" ht="14.4" x14ac:dyDescent="0.3">
      <c r="A83" s="252"/>
      <c r="B83" s="252"/>
      <c r="C83" s="252"/>
      <c r="D83" s="252"/>
      <c r="E83" s="252"/>
    </row>
    <row r="84" spans="1:5" x14ac:dyDescent="0.25">
      <c r="A84" s="528" t="s">
        <v>31</v>
      </c>
      <c r="B84" s="529"/>
      <c r="C84" s="522">
        <v>162479141.77999997</v>
      </c>
      <c r="D84" s="522">
        <v>588152213.68000019</v>
      </c>
      <c r="E84" s="528"/>
    </row>
    <row r="89" spans="1:5" x14ac:dyDescent="0.25">
      <c r="C89" s="230"/>
      <c r="D89" s="230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C16" sqref="C16"/>
    </sheetView>
  </sheetViews>
  <sheetFormatPr defaultRowHeight="13.2" x14ac:dyDescent="0.25"/>
  <cols>
    <col min="1" max="1" width="30.6640625" customWidth="1"/>
    <col min="2" max="2" width="31.44140625" bestFit="1" customWidth="1"/>
    <col min="3" max="3" width="15" style="343" bestFit="1" customWidth="1"/>
    <col min="4" max="4" width="16.5546875" style="343" bestFit="1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57" t="s">
        <v>86</v>
      </c>
      <c r="C2" s="558"/>
      <c r="D2" s="558"/>
    </row>
    <row r="3" spans="1:4" x14ac:dyDescent="0.25">
      <c r="B3" s="555" t="s">
        <v>398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399</v>
      </c>
      <c r="C5" s="342"/>
      <c r="D5" s="342"/>
    </row>
    <row r="7" spans="1:4" x14ac:dyDescent="0.25">
      <c r="B7" s="344" t="s">
        <v>30</v>
      </c>
      <c r="C7" s="345" t="s">
        <v>196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198608945.88</v>
      </c>
      <c r="D9" s="347">
        <v>2158762064.8099999</v>
      </c>
    </row>
    <row r="10" spans="1:4" x14ac:dyDescent="0.25">
      <c r="A10" s="346" t="s">
        <v>94</v>
      </c>
      <c r="B10" s="346" t="s">
        <v>35</v>
      </c>
      <c r="C10" s="343">
        <v>379253001.47000003</v>
      </c>
      <c r="D10" s="343">
        <v>4189953459.8800001</v>
      </c>
    </row>
    <row r="11" spans="1:4" x14ac:dyDescent="0.25">
      <c r="A11" s="346" t="s">
        <v>95</v>
      </c>
      <c r="B11" s="346" t="s">
        <v>36</v>
      </c>
      <c r="C11" s="343">
        <v>114388198.44</v>
      </c>
      <c r="D11" s="343">
        <v>1780048559.77</v>
      </c>
    </row>
    <row r="12" spans="1:4" x14ac:dyDescent="0.25">
      <c r="A12" s="346" t="s">
        <v>96</v>
      </c>
      <c r="B12" s="346" t="s">
        <v>37</v>
      </c>
      <c r="C12" s="343">
        <v>19467349.920000002</v>
      </c>
      <c r="D12" s="343">
        <v>132905655.25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711717495.70999992</v>
      </c>
      <c r="D14" s="561">
        <f>SUM(D9:D13)</f>
        <v>8261669739.710001</v>
      </c>
    </row>
    <row r="16" spans="1:4" x14ac:dyDescent="0.25">
      <c r="A16" s="346" t="s">
        <v>99</v>
      </c>
      <c r="B16" s="346" t="s">
        <v>100</v>
      </c>
      <c r="C16" s="343">
        <v>216385.99</v>
      </c>
      <c r="D16" s="343">
        <v>2124724.34</v>
      </c>
    </row>
    <row r="17" spans="1:4" x14ac:dyDescent="0.25">
      <c r="A17" s="346" t="s">
        <v>101</v>
      </c>
      <c r="B17" s="346" t="s">
        <v>102</v>
      </c>
      <c r="C17" s="343">
        <v>412810.11</v>
      </c>
      <c r="D17" s="343">
        <v>4117839.28</v>
      </c>
    </row>
    <row r="18" spans="1:4" x14ac:dyDescent="0.25">
      <c r="A18" s="346" t="s">
        <v>103</v>
      </c>
      <c r="B18" s="346" t="s">
        <v>104</v>
      </c>
      <c r="C18" s="343">
        <v>202175.67</v>
      </c>
      <c r="D18" s="343">
        <v>2542918.85</v>
      </c>
    </row>
    <row r="19" spans="1:4" x14ac:dyDescent="0.25">
      <c r="A19" s="346" t="s">
        <v>105</v>
      </c>
      <c r="B19" s="346" t="s">
        <v>106</v>
      </c>
      <c r="C19" s="343">
        <v>20584.509999999998</v>
      </c>
      <c r="D19" s="343">
        <v>130187.88</v>
      </c>
    </row>
    <row r="20" spans="1:4" x14ac:dyDescent="0.25">
      <c r="A20" s="559" t="s">
        <v>107</v>
      </c>
      <c r="B20" s="560"/>
      <c r="C20" s="561">
        <f>SUM(C16:C19)</f>
        <v>851956.28</v>
      </c>
      <c r="D20" s="561">
        <f>SUM(D16:D19)</f>
        <v>8915670.3499999996</v>
      </c>
    </row>
    <row r="22" spans="1:4" x14ac:dyDescent="0.25">
      <c r="A22" s="346" t="s">
        <v>108</v>
      </c>
      <c r="B22" s="346" t="s">
        <v>109</v>
      </c>
      <c r="C22" s="343">
        <v>59680.77</v>
      </c>
      <c r="D22" s="343">
        <v>775990.76</v>
      </c>
    </row>
    <row r="23" spans="1:4" x14ac:dyDescent="0.25">
      <c r="A23" s="346" t="s">
        <v>110</v>
      </c>
      <c r="B23" s="346" t="s">
        <v>111</v>
      </c>
      <c r="C23" s="343">
        <v>113949.62</v>
      </c>
      <c r="D23" s="343">
        <v>1500348.49</v>
      </c>
    </row>
    <row r="24" spans="1:4" x14ac:dyDescent="0.25">
      <c r="A24" s="346" t="s">
        <v>112</v>
      </c>
      <c r="B24" s="346" t="s">
        <v>113</v>
      </c>
      <c r="C24" s="343">
        <v>34439.47</v>
      </c>
      <c r="D24" s="343">
        <v>571377.87</v>
      </c>
    </row>
    <row r="25" spans="1:4" x14ac:dyDescent="0.25">
      <c r="A25" s="346" t="s">
        <v>114</v>
      </c>
      <c r="B25" s="346" t="s">
        <v>115</v>
      </c>
      <c r="C25" s="343">
        <v>5839.74</v>
      </c>
      <c r="D25" s="343">
        <v>53809.45</v>
      </c>
    </row>
    <row r="26" spans="1:4" x14ac:dyDescent="0.25">
      <c r="A26" s="559" t="s">
        <v>116</v>
      </c>
      <c r="B26" s="560"/>
      <c r="C26" s="561">
        <f>SUM(C22:C25)</f>
        <v>213909.59999999998</v>
      </c>
      <c r="D26" s="561">
        <f>SUM(D22:D25)</f>
        <v>2901526.5700000003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4963.97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9682.35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4019.67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261.66000000000003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18927.649999999998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-4931051.28</v>
      </c>
      <c r="D40" s="343">
        <v>-10912647.380000001</v>
      </c>
    </row>
    <row r="41" spans="1:4" x14ac:dyDescent="0.25">
      <c r="A41" s="346" t="s">
        <v>128</v>
      </c>
      <c r="B41" s="346" t="s">
        <v>348</v>
      </c>
      <c r="C41" s="343">
        <v>-9414949.9000000004</v>
      </c>
      <c r="D41" s="343">
        <v>-33815944.479999997</v>
      </c>
    </row>
    <row r="42" spans="1:4" x14ac:dyDescent="0.25">
      <c r="A42" s="346" t="s">
        <v>130</v>
      </c>
      <c r="B42" s="346" t="s">
        <v>349</v>
      </c>
      <c r="C42" s="343">
        <v>-2845517.05</v>
      </c>
      <c r="D42" s="343">
        <v>-7285303.6600000001</v>
      </c>
    </row>
    <row r="43" spans="1:4" x14ac:dyDescent="0.25">
      <c r="A43" s="346" t="s">
        <v>132</v>
      </c>
      <c r="B43" s="346" t="s">
        <v>350</v>
      </c>
      <c r="C43" s="343">
        <v>-482500.74</v>
      </c>
      <c r="D43" s="343">
        <v>-1028849.96</v>
      </c>
    </row>
    <row r="44" spans="1:4" x14ac:dyDescent="0.25">
      <c r="A44" s="559" t="s">
        <v>134</v>
      </c>
      <c r="B44" s="560"/>
      <c r="C44" s="561">
        <f>SUM(C40:C43)</f>
        <v>-17674018.969999999</v>
      </c>
      <c r="D44" s="561">
        <f>SUM(D40:D43)</f>
        <v>-53042745.479999997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10439596.949999999</v>
      </c>
      <c r="D47" s="343">
        <v>3968331.27</v>
      </c>
    </row>
    <row r="48" spans="1:4" x14ac:dyDescent="0.25">
      <c r="A48" s="346" t="s">
        <v>330</v>
      </c>
      <c r="B48" s="346" t="s">
        <v>331</v>
      </c>
      <c r="C48" s="343">
        <v>-6232485</v>
      </c>
      <c r="D48" s="343">
        <v>98480580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4207111.9499999993</v>
      </c>
      <c r="D50" s="561">
        <f>SUM(D46:D49)</f>
        <v>102448911.27</v>
      </c>
    </row>
    <row r="52" spans="1:4" x14ac:dyDescent="0.25">
      <c r="A52" s="346" t="s">
        <v>135</v>
      </c>
      <c r="B52" s="346" t="s">
        <v>385</v>
      </c>
      <c r="C52" s="343">
        <v>-156426912.36000001</v>
      </c>
      <c r="D52" s="343">
        <v>-1866581880.1500001</v>
      </c>
    </row>
    <row r="53" spans="1:4" x14ac:dyDescent="0.25">
      <c r="A53" s="346" t="s">
        <v>137</v>
      </c>
      <c r="B53" s="346" t="s">
        <v>386</v>
      </c>
      <c r="C53" s="343">
        <v>-375903145.57999998</v>
      </c>
      <c r="D53" s="343">
        <v>-3712087020.4699998</v>
      </c>
    </row>
    <row r="54" spans="1:4" x14ac:dyDescent="0.25">
      <c r="A54" s="346" t="s">
        <v>139</v>
      </c>
      <c r="B54" s="346" t="s">
        <v>387</v>
      </c>
      <c r="C54" s="343">
        <v>-158157669.99000001</v>
      </c>
      <c r="D54" s="343">
        <v>-1832699460.8800001</v>
      </c>
    </row>
    <row r="55" spans="1:4" x14ac:dyDescent="0.25">
      <c r="A55" s="346" t="s">
        <v>141</v>
      </c>
      <c r="B55" s="346" t="s">
        <v>388</v>
      </c>
      <c r="C55" s="343">
        <v>-14119527.960000001</v>
      </c>
      <c r="D55" s="343">
        <v>-128227145.2</v>
      </c>
    </row>
    <row r="56" spans="1:4" x14ac:dyDescent="0.25">
      <c r="A56" s="559" t="s">
        <v>143</v>
      </c>
      <c r="B56" s="560"/>
      <c r="C56" s="561">
        <f>SUM(C52:C55)</f>
        <v>-704607255.8900001</v>
      </c>
      <c r="D56" s="561">
        <f>SUM(D52:D55)</f>
        <v>-7539595506.6999998</v>
      </c>
    </row>
    <row r="58" spans="1:4" x14ac:dyDescent="0.25">
      <c r="A58" s="346" t="s">
        <v>351</v>
      </c>
      <c r="B58" s="346" t="s">
        <v>352</v>
      </c>
      <c r="C58" s="343">
        <v>1119943.53</v>
      </c>
      <c r="D58" s="343">
        <v>17369284.620000001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1119943.53</v>
      </c>
      <c r="D60" s="343">
        <f>SUM(D58:D59)</f>
        <v>17369284.620000001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-4546193.55</v>
      </c>
      <c r="D72" s="343">
        <v>-61853980.630000003</v>
      </c>
    </row>
    <row r="73" spans="1:4" x14ac:dyDescent="0.25">
      <c r="A73" s="346" t="s">
        <v>152</v>
      </c>
      <c r="B73" s="346" t="s">
        <v>41</v>
      </c>
      <c r="C73" s="343">
        <v>-1367558.2</v>
      </c>
      <c r="D73" s="343">
        <v>-19431506.300000001</v>
      </c>
    </row>
    <row r="74" spans="1:4" x14ac:dyDescent="0.25">
      <c r="A74" s="346" t="s">
        <v>153</v>
      </c>
      <c r="B74" s="346" t="s">
        <v>42</v>
      </c>
      <c r="C74" s="343">
        <v>-633951.73</v>
      </c>
      <c r="D74" s="343">
        <v>-8923993.4199999999</v>
      </c>
    </row>
    <row r="75" spans="1:4" x14ac:dyDescent="0.25">
      <c r="A75" s="346" t="s">
        <v>154</v>
      </c>
      <c r="B75" s="346" t="s">
        <v>43</v>
      </c>
      <c r="C75" s="343">
        <v>-971870.01</v>
      </c>
      <c r="D75" s="343">
        <v>-12436024.109999999</v>
      </c>
    </row>
    <row r="76" spans="1:4" x14ac:dyDescent="0.25">
      <c r="A76" s="559" t="s">
        <v>155</v>
      </c>
      <c r="B76" s="560"/>
      <c r="C76" s="561">
        <f>SUM(C72:C75)</f>
        <v>-7519573.4900000002</v>
      </c>
      <c r="D76" s="561">
        <f>SUM(D72:D75)</f>
        <v>-102645504.46000001</v>
      </c>
    </row>
    <row r="78" spans="1:4" x14ac:dyDescent="0.25">
      <c r="A78" s="346" t="s">
        <v>156</v>
      </c>
      <c r="B78" s="346" t="s">
        <v>394</v>
      </c>
      <c r="C78" s="343">
        <v>1323056.25</v>
      </c>
      <c r="D78" s="343">
        <v>14565864.279999999</v>
      </c>
    </row>
    <row r="79" spans="1:4" x14ac:dyDescent="0.25">
      <c r="A79" s="346" t="s">
        <v>158</v>
      </c>
      <c r="B79" s="346" t="s">
        <v>395</v>
      </c>
      <c r="C79" s="343">
        <v>313788.39</v>
      </c>
      <c r="D79" s="343">
        <v>3748322.57</v>
      </c>
    </row>
    <row r="80" spans="1:4" x14ac:dyDescent="0.25">
      <c r="A80" s="346" t="s">
        <v>160</v>
      </c>
      <c r="B80" s="346" t="s">
        <v>396</v>
      </c>
      <c r="C80" s="343">
        <v>67453.09</v>
      </c>
      <c r="D80" s="343">
        <v>651047.99</v>
      </c>
    </row>
    <row r="81" spans="1:4" x14ac:dyDescent="0.25">
      <c r="A81" s="346" t="s">
        <v>162</v>
      </c>
      <c r="B81" s="346" t="s">
        <v>397</v>
      </c>
      <c r="C81" s="343">
        <v>94247</v>
      </c>
      <c r="D81" s="343">
        <v>1357438.71</v>
      </c>
    </row>
    <row r="82" spans="1:4" x14ac:dyDescent="0.25">
      <c r="A82" s="559" t="s">
        <v>164</v>
      </c>
      <c r="B82" s="560"/>
      <c r="C82" s="561">
        <f>SUM(C78:C81)</f>
        <v>1798544.7300000002</v>
      </c>
      <c r="D82" s="561">
        <f>SUM(D78:D81)</f>
        <v>20322673.549999997</v>
      </c>
    </row>
    <row r="84" spans="1:4" x14ac:dyDescent="0.25">
      <c r="A84" s="559" t="s">
        <v>31</v>
      </c>
      <c r="B84" s="560"/>
      <c r="C84" s="561">
        <f>C14+C20+C26+C32+C44+C56+C62+C70+C76+C82+C50+C38+C60</f>
        <v>-9891886.5500002224</v>
      </c>
      <c r="D84" s="561">
        <f>D14+D20+D26+D32+D44+D56+D62+D70+D76+D82+D50+D38+D60</f>
        <v>718362977.08000124</v>
      </c>
    </row>
  </sheetData>
  <pageMargins left="0.2" right="0.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29" activePane="bottomLeft" state="frozenSplit"/>
      <selection pane="bottomLeft" activeCell="A38" sqref="A38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368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367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199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2170546550.1700001</v>
      </c>
      <c r="D9" s="500">
        <v>188960908.28999999</v>
      </c>
      <c r="E9" s="500">
        <v>2359507458.46</v>
      </c>
    </row>
    <row r="10" spans="1:5" x14ac:dyDescent="0.25">
      <c r="A10" s="499" t="s">
        <v>94</v>
      </c>
      <c r="B10" s="499" t="s">
        <v>35</v>
      </c>
      <c r="C10" s="501">
        <v>4194324763.0999999</v>
      </c>
      <c r="D10" s="501">
        <v>381468849.30000001</v>
      </c>
      <c r="E10" s="501">
        <v>4575793612.3999996</v>
      </c>
    </row>
    <row r="11" spans="1:5" x14ac:dyDescent="0.25">
      <c r="A11" s="499" t="s">
        <v>95</v>
      </c>
      <c r="B11" s="499" t="s">
        <v>36</v>
      </c>
      <c r="C11" s="501">
        <v>2152559787.7399998</v>
      </c>
      <c r="D11" s="501">
        <v>166315592.15000001</v>
      </c>
      <c r="E11" s="501">
        <v>2318875379.8899999</v>
      </c>
    </row>
    <row r="12" spans="1:5" x14ac:dyDescent="0.25">
      <c r="A12" s="499" t="s">
        <v>96</v>
      </c>
      <c r="B12" s="499" t="s">
        <v>37</v>
      </c>
      <c r="C12" s="501">
        <v>105430973.55</v>
      </c>
      <c r="D12" s="501">
        <v>10347200.75</v>
      </c>
      <c r="E12" s="501">
        <v>115778174.3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8622862074.5599995</v>
      </c>
      <c r="D14" s="504">
        <f>SUM(D9:D13)</f>
        <v>747092550.49000001</v>
      </c>
      <c r="E14" s="504">
        <f>SUM(E9:E13)</f>
        <v>9369954625.0499992</v>
      </c>
    </row>
    <row r="16" spans="1:5" x14ac:dyDescent="0.25">
      <c r="A16" s="499" t="s">
        <v>99</v>
      </c>
      <c r="B16" s="499" t="s">
        <v>100</v>
      </c>
      <c r="C16" s="501">
        <v>1313358.8799999999</v>
      </c>
      <c r="D16" s="501">
        <v>138336.29999999999</v>
      </c>
      <c r="E16" s="501">
        <v>1451695.18</v>
      </c>
    </row>
    <row r="17" spans="1:5" x14ac:dyDescent="0.25">
      <c r="A17" s="499" t="s">
        <v>101</v>
      </c>
      <c r="B17" s="499" t="s">
        <v>102</v>
      </c>
      <c r="C17" s="501">
        <v>2530724.27</v>
      </c>
      <c r="D17" s="501">
        <v>278496.78000000003</v>
      </c>
      <c r="E17" s="501">
        <v>2809221.05</v>
      </c>
    </row>
    <row r="18" spans="1:5" x14ac:dyDescent="0.25">
      <c r="A18" s="499" t="s">
        <v>103</v>
      </c>
      <c r="B18" s="499" t="s">
        <v>104</v>
      </c>
      <c r="C18" s="501">
        <v>2010507.94</v>
      </c>
      <c r="D18" s="501">
        <v>185615.06</v>
      </c>
      <c r="E18" s="501">
        <v>2196123</v>
      </c>
    </row>
    <row r="19" spans="1:5" x14ac:dyDescent="0.25">
      <c r="A19" s="499" t="s">
        <v>105</v>
      </c>
      <c r="B19" s="499" t="s">
        <v>106</v>
      </c>
      <c r="C19" s="501">
        <v>60904.160000000003</v>
      </c>
      <c r="D19" s="501">
        <v>7207.8</v>
      </c>
      <c r="E19" s="501">
        <v>68111.960000000006</v>
      </c>
    </row>
    <row r="20" spans="1:5" x14ac:dyDescent="0.25">
      <c r="A20" s="502" t="s">
        <v>107</v>
      </c>
      <c r="B20" s="503"/>
      <c r="C20" s="504">
        <f>SUM(C16:C19)</f>
        <v>5915495.25</v>
      </c>
      <c r="D20" s="504">
        <f>SUM(D16:D19)</f>
        <v>609655.94000000006</v>
      </c>
      <c r="E20" s="504">
        <f>SUM(E16:E19)</f>
        <v>6525151.1899999995</v>
      </c>
    </row>
    <row r="22" spans="1:5" x14ac:dyDescent="0.25">
      <c r="A22" s="499" t="s">
        <v>108</v>
      </c>
      <c r="B22" s="499" t="s">
        <v>109</v>
      </c>
      <c r="C22" s="501">
        <v>257162.33</v>
      </c>
      <c r="D22" s="501">
        <v>57461.36</v>
      </c>
      <c r="E22" s="501">
        <v>314623.69</v>
      </c>
    </row>
    <row r="23" spans="1:5" x14ac:dyDescent="0.25">
      <c r="A23" s="499" t="s">
        <v>110</v>
      </c>
      <c r="B23" s="499" t="s">
        <v>111</v>
      </c>
      <c r="C23" s="501">
        <v>512504.41</v>
      </c>
      <c r="D23" s="501">
        <v>115968.31</v>
      </c>
      <c r="E23" s="501">
        <v>628472.72</v>
      </c>
    </row>
    <row r="24" spans="1:5" x14ac:dyDescent="0.25">
      <c r="A24" s="499" t="s">
        <v>112</v>
      </c>
      <c r="B24" s="499" t="s">
        <v>113</v>
      </c>
      <c r="C24" s="501">
        <v>257454.95</v>
      </c>
      <c r="D24" s="501">
        <v>50733.25</v>
      </c>
      <c r="E24" s="501">
        <v>308188.2</v>
      </c>
    </row>
    <row r="25" spans="1:5" x14ac:dyDescent="0.25">
      <c r="A25" s="499" t="s">
        <v>114</v>
      </c>
      <c r="B25" s="499" t="s">
        <v>115</v>
      </c>
      <c r="C25" s="501">
        <v>17207.189999999999</v>
      </c>
      <c r="D25" s="501">
        <v>3136.76</v>
      </c>
      <c r="E25" s="501">
        <v>20343.95</v>
      </c>
    </row>
    <row r="26" spans="1:5" x14ac:dyDescent="0.25">
      <c r="A26" s="502" t="s">
        <v>116</v>
      </c>
      <c r="B26" s="503"/>
      <c r="C26" s="504">
        <f>SUM(C22:C25)</f>
        <v>1044328.8799999999</v>
      </c>
      <c r="D26" s="504">
        <f>SUM(D22:D25)</f>
        <v>227299.68</v>
      </c>
      <c r="E26" s="504">
        <f>SUM(E22:E25)</f>
        <v>1271628.5599999998</v>
      </c>
    </row>
    <row r="28" spans="1:5" x14ac:dyDescent="0.25">
      <c r="A28" s="499" t="s">
        <v>117</v>
      </c>
      <c r="B28" s="499" t="s">
        <v>118</v>
      </c>
      <c r="C28" s="501">
        <v>1272.4000000000001</v>
      </c>
      <c r="D28" s="501">
        <v>252.8</v>
      </c>
      <c r="E28" s="501">
        <v>1525.2</v>
      </c>
    </row>
    <row r="29" spans="1:5" x14ac:dyDescent="0.25">
      <c r="A29" s="499" t="s">
        <v>119</v>
      </c>
      <c r="B29" s="499" t="s">
        <v>120</v>
      </c>
      <c r="C29" s="501">
        <v>2475.5</v>
      </c>
      <c r="D29" s="501">
        <v>510.2</v>
      </c>
      <c r="E29" s="501">
        <v>2985.7</v>
      </c>
    </row>
    <row r="30" spans="1:5" x14ac:dyDescent="0.25">
      <c r="A30" s="499" t="s">
        <v>121</v>
      </c>
      <c r="B30" s="499" t="s">
        <v>122</v>
      </c>
      <c r="C30" s="501">
        <v>1190.7</v>
      </c>
      <c r="D30" s="501">
        <v>223.2</v>
      </c>
      <c r="E30" s="501">
        <v>1413.9</v>
      </c>
    </row>
    <row r="31" spans="1:5" x14ac:dyDescent="0.25">
      <c r="A31" s="499" t="s">
        <v>123</v>
      </c>
      <c r="B31" s="499" t="s">
        <v>124</v>
      </c>
      <c r="C31" s="501">
        <v>61.4</v>
      </c>
      <c r="D31" s="501">
        <v>13.8</v>
      </c>
      <c r="E31" s="501">
        <v>75.2</v>
      </c>
    </row>
    <row r="32" spans="1:5" x14ac:dyDescent="0.25">
      <c r="A32" s="502" t="s">
        <v>125</v>
      </c>
      <c r="B32" s="503"/>
      <c r="C32" s="504">
        <f>SUM(C28:C31)</f>
        <v>5000</v>
      </c>
      <c r="D32" s="504">
        <f>SUM(D28:D31)</f>
        <v>1000</v>
      </c>
      <c r="E32" s="504">
        <f>SUM(E28:E31)</f>
        <v>5999.9999999999991</v>
      </c>
    </row>
    <row r="34" spans="1:5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5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5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5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5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5" x14ac:dyDescent="0.25">
      <c r="A40" s="499" t="s">
        <v>126</v>
      </c>
      <c r="B40" s="499" t="s">
        <v>347</v>
      </c>
      <c r="C40" s="501">
        <v>-7706072.0800000001</v>
      </c>
      <c r="D40" s="501">
        <v>-7608837.29</v>
      </c>
      <c r="E40" s="501">
        <v>-15314909.369999999</v>
      </c>
    </row>
    <row r="41" spans="1:5" x14ac:dyDescent="0.25">
      <c r="A41" s="499" t="s">
        <v>128</v>
      </c>
      <c r="B41" s="499" t="s">
        <v>348</v>
      </c>
      <c r="C41" s="501">
        <v>-15022621.390000001</v>
      </c>
      <c r="D41" s="501">
        <v>-40840131.109999999</v>
      </c>
      <c r="E41" s="501">
        <v>-55862752.5</v>
      </c>
    </row>
    <row r="42" spans="1:5" x14ac:dyDescent="0.25">
      <c r="A42" s="499" t="s">
        <v>130</v>
      </c>
      <c r="B42" s="499" t="s">
        <v>349</v>
      </c>
      <c r="C42" s="501">
        <v>-7489303.25</v>
      </c>
      <c r="D42" s="501">
        <v>-6873123.3499999996</v>
      </c>
      <c r="E42" s="501">
        <v>-14362426.6</v>
      </c>
    </row>
    <row r="43" spans="1:5" x14ac:dyDescent="0.25">
      <c r="A43" s="499" t="s">
        <v>132</v>
      </c>
      <c r="B43" s="499" t="s">
        <v>350</v>
      </c>
      <c r="C43" s="501">
        <v>-354361.58</v>
      </c>
      <c r="D43" s="501">
        <v>-428332.31</v>
      </c>
      <c r="E43" s="501">
        <v>-782693.89</v>
      </c>
    </row>
    <row r="44" spans="1:5" x14ac:dyDescent="0.25">
      <c r="A44" s="502" t="s">
        <v>134</v>
      </c>
      <c r="B44" s="503"/>
      <c r="C44" s="504">
        <f>SUM(C40:C43)</f>
        <v>-30572358.299999997</v>
      </c>
      <c r="D44" s="504">
        <f>SUM(D40:D43)</f>
        <v>-55750424.060000002</v>
      </c>
      <c r="E44" s="504">
        <f>SUM(E40:E43)</f>
        <v>-86322782.359999999</v>
      </c>
    </row>
    <row r="46" spans="1:5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5" x14ac:dyDescent="0.25">
      <c r="A47" s="499" t="s">
        <v>328</v>
      </c>
      <c r="B47" s="499" t="s">
        <v>329</v>
      </c>
      <c r="C47" s="501">
        <v>-52154486</v>
      </c>
      <c r="D47" s="501">
        <v>58018988</v>
      </c>
      <c r="E47" s="501">
        <v>5864502</v>
      </c>
    </row>
    <row r="48" spans="1:5" x14ac:dyDescent="0.25">
      <c r="A48" s="499" t="s">
        <v>330</v>
      </c>
      <c r="B48" s="499" t="s">
        <v>331</v>
      </c>
      <c r="C48" s="501">
        <v>-909069</v>
      </c>
      <c r="D48" s="501">
        <v>-2025755</v>
      </c>
      <c r="E48" s="501">
        <v>-2934824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-53063555</v>
      </c>
      <c r="D50" s="504">
        <f>SUM(D46:D49)</f>
        <v>55993233</v>
      </c>
      <c r="E50" s="504">
        <f>SUM(E46:E49)</f>
        <v>2929678</v>
      </c>
    </row>
    <row r="52" spans="1:5" x14ac:dyDescent="0.25">
      <c r="A52" s="499" t="s">
        <v>135</v>
      </c>
      <c r="B52" s="499" t="s">
        <v>136</v>
      </c>
      <c r="C52" s="501">
        <v>-2000690131.71</v>
      </c>
      <c r="D52" s="501">
        <v>-206855179.44999999</v>
      </c>
      <c r="E52" s="501">
        <v>-2207545311.1599998</v>
      </c>
    </row>
    <row r="53" spans="1:5" x14ac:dyDescent="0.25">
      <c r="A53" s="499" t="s">
        <v>137</v>
      </c>
      <c r="B53" s="499" t="s">
        <v>138</v>
      </c>
      <c r="C53" s="501">
        <v>-3759706243.9299998</v>
      </c>
      <c r="D53" s="501">
        <v>-318930624.81999999</v>
      </c>
      <c r="E53" s="501">
        <v>-4078636868.75</v>
      </c>
    </row>
    <row r="54" spans="1:5" x14ac:dyDescent="0.25">
      <c r="A54" s="499" t="s">
        <v>139</v>
      </c>
      <c r="B54" s="499" t="s">
        <v>140</v>
      </c>
      <c r="C54" s="501">
        <v>-1923287925.54</v>
      </c>
      <c r="D54" s="501">
        <v>-151490899.75</v>
      </c>
      <c r="E54" s="501">
        <v>-2074778825.29</v>
      </c>
    </row>
    <row r="55" spans="1:5" x14ac:dyDescent="0.25">
      <c r="A55" s="499" t="s">
        <v>141</v>
      </c>
      <c r="B55" s="499" t="s">
        <v>142</v>
      </c>
      <c r="C55" s="501">
        <v>-134528102.65000001</v>
      </c>
      <c r="D55" s="501">
        <v>-24940089.829999998</v>
      </c>
      <c r="E55" s="501">
        <v>-159468192.47999999</v>
      </c>
    </row>
    <row r="56" spans="1:5" x14ac:dyDescent="0.25">
      <c r="A56" s="502" t="s">
        <v>143</v>
      </c>
      <c r="B56" s="503"/>
      <c r="C56" s="504">
        <f>SUM(C52:C55)</f>
        <v>-7818212403.829999</v>
      </c>
      <c r="D56" s="504">
        <f>SUM(D52:D55)</f>
        <v>-702216793.85000002</v>
      </c>
      <c r="E56" s="504">
        <f>SUM(E52:E55)</f>
        <v>-8520429197.6799994</v>
      </c>
    </row>
    <row r="58" spans="1:5" x14ac:dyDescent="0.25">
      <c r="A58" s="499" t="s">
        <v>351</v>
      </c>
      <c r="B58" s="499" t="s">
        <v>352</v>
      </c>
      <c r="C58" s="501">
        <v>-43696384.450000003</v>
      </c>
      <c r="D58" s="501">
        <v>-2440150.52</v>
      </c>
      <c r="E58" s="501">
        <v>-46136534.969999999</v>
      </c>
    </row>
    <row r="59" spans="1:5" x14ac:dyDescent="0.25">
      <c r="A59" s="499" t="s">
        <v>353</v>
      </c>
      <c r="B59" s="499" t="s">
        <v>354</v>
      </c>
      <c r="C59" s="501">
        <v>-540.66</v>
      </c>
      <c r="D59" s="501">
        <v>-554240.21</v>
      </c>
      <c r="E59" s="501">
        <v>-554780.87</v>
      </c>
    </row>
    <row r="60" spans="1:5" x14ac:dyDescent="0.25">
      <c r="C60" s="501">
        <f>SUM(C58:C59)</f>
        <v>-43696925.109999999</v>
      </c>
      <c r="D60" s="501">
        <f>SUM(D58:D59)</f>
        <v>-2994390.73</v>
      </c>
      <c r="E60" s="501">
        <f>SUM(E58:E59)</f>
        <v>-46691315.839999996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-63996453.640000001</v>
      </c>
      <c r="D72" s="501">
        <v>-5783738.2599999998</v>
      </c>
      <c r="E72" s="501">
        <v>-69780191.900000006</v>
      </c>
    </row>
    <row r="73" spans="1:5" x14ac:dyDescent="0.25">
      <c r="A73" s="499" t="s">
        <v>152</v>
      </c>
      <c r="B73" s="499" t="s">
        <v>41</v>
      </c>
      <c r="C73" s="501">
        <v>-14488767.66</v>
      </c>
      <c r="D73" s="501">
        <v>-1442388.68</v>
      </c>
      <c r="E73" s="501">
        <v>-15931156.34</v>
      </c>
    </row>
    <row r="74" spans="1:5" x14ac:dyDescent="0.25">
      <c r="A74" s="499" t="s">
        <v>153</v>
      </c>
      <c r="B74" s="499" t="s">
        <v>42</v>
      </c>
      <c r="C74" s="501">
        <v>-6053088.5300000003</v>
      </c>
      <c r="D74" s="501">
        <v>-606903.86</v>
      </c>
      <c r="E74" s="501">
        <v>-6659992.3899999997</v>
      </c>
    </row>
    <row r="75" spans="1:5" x14ac:dyDescent="0.25">
      <c r="A75" s="499" t="s">
        <v>154</v>
      </c>
      <c r="B75" s="499" t="s">
        <v>43</v>
      </c>
      <c r="C75" s="501">
        <v>-12319537.25</v>
      </c>
      <c r="D75" s="501">
        <v>-665959.76</v>
      </c>
      <c r="E75" s="501">
        <v>-12985497.01</v>
      </c>
    </row>
    <row r="76" spans="1:5" x14ac:dyDescent="0.25">
      <c r="A76" s="502" t="s">
        <v>155</v>
      </c>
      <c r="B76" s="503"/>
      <c r="C76" s="504">
        <f>SUM(C72:C75)</f>
        <v>-96857847.079999998</v>
      </c>
      <c r="D76" s="504">
        <f>SUM(D72:D75)</f>
        <v>-8498990.5600000005</v>
      </c>
      <c r="E76" s="504">
        <f>SUM(E72:E75)</f>
        <v>-105356837.64000002</v>
      </c>
    </row>
    <row r="78" spans="1:5" x14ac:dyDescent="0.25">
      <c r="A78" s="499" t="s">
        <v>156</v>
      </c>
      <c r="B78" s="499" t="s">
        <v>157</v>
      </c>
      <c r="C78" s="501">
        <v>9998662.6500000004</v>
      </c>
      <c r="D78" s="501">
        <v>1396390.09</v>
      </c>
      <c r="E78" s="501">
        <v>11395052.74</v>
      </c>
    </row>
    <row r="79" spans="1:5" x14ac:dyDescent="0.25">
      <c r="A79" s="499" t="s">
        <v>158</v>
      </c>
      <c r="B79" s="499" t="s">
        <v>159</v>
      </c>
      <c r="C79" s="501">
        <v>8552307.8300000001</v>
      </c>
      <c r="D79" s="501">
        <v>393421.03</v>
      </c>
      <c r="E79" s="501">
        <v>8945728.8599999994</v>
      </c>
    </row>
    <row r="80" spans="1:5" x14ac:dyDescent="0.25">
      <c r="A80" s="499" t="s">
        <v>160</v>
      </c>
      <c r="B80" s="499" t="s">
        <v>161</v>
      </c>
      <c r="C80" s="501">
        <v>346916.15</v>
      </c>
      <c r="D80" s="501">
        <v>33110.82</v>
      </c>
      <c r="E80" s="501">
        <v>380026.97</v>
      </c>
    </row>
    <row r="81" spans="1:5" x14ac:dyDescent="0.25">
      <c r="A81" s="499" t="s">
        <v>162</v>
      </c>
      <c r="B81" s="499" t="s">
        <v>163</v>
      </c>
      <c r="C81" s="501">
        <v>6017123.6200000001</v>
      </c>
      <c r="D81" s="501">
        <v>219164.08</v>
      </c>
      <c r="E81" s="501">
        <v>6236287.7000000002</v>
      </c>
    </row>
    <row r="82" spans="1:5" x14ac:dyDescent="0.25">
      <c r="A82" s="502" t="s">
        <v>164</v>
      </c>
      <c r="B82" s="503"/>
      <c r="C82" s="504">
        <f>SUM(C78:C81)</f>
        <v>24915010.25</v>
      </c>
      <c r="D82" s="504">
        <f>SUM(D78:D81)</f>
        <v>2042086.0200000003</v>
      </c>
      <c r="E82" s="504">
        <f>SUM(E78:E81)</f>
        <v>26957096.27</v>
      </c>
    </row>
    <row r="84" spans="1:5" x14ac:dyDescent="0.25">
      <c r="A84" s="502" t="s">
        <v>31</v>
      </c>
      <c r="B84" s="503"/>
      <c r="C84" s="504">
        <f>C14+C20+C26+C32+C44+C56+C62+C70+C76+C82+C50+C38+C60</f>
        <v>612338819.62000036</v>
      </c>
      <c r="D84" s="504">
        <f>D14+D20+D26+D32+D44+D56+D62+D70+D76+D82+D50+D38+D60</f>
        <v>36505225.929999925</v>
      </c>
      <c r="E84" s="504">
        <f>E14+E20+E26+E32+E44+E56+E62+E70+E76+E82+E50+E38+E60</f>
        <v>648844045.54999924</v>
      </c>
    </row>
  </sheetData>
  <pageMargins left="0.75" right="0.75" top="0.75" bottom="0.75" header="0.5" footer="0.5"/>
  <pageSetup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B12" sqref="B11:B1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57" t="s">
        <v>86</v>
      </c>
      <c r="C2" s="558"/>
      <c r="D2" s="558"/>
    </row>
    <row r="3" spans="1:4" x14ac:dyDescent="0.25">
      <c r="B3" s="555" t="s">
        <v>393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400</v>
      </c>
      <c r="C5" s="342"/>
      <c r="D5" s="342"/>
    </row>
    <row r="7" spans="1:4" x14ac:dyDescent="0.25">
      <c r="B7" s="344" t="s">
        <v>30</v>
      </c>
      <c r="C7" s="345" t="s">
        <v>193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195229153.78</v>
      </c>
      <c r="D9" s="347">
        <v>1960153118.9300001</v>
      </c>
    </row>
    <row r="10" spans="1:4" x14ac:dyDescent="0.25">
      <c r="A10" s="346" t="s">
        <v>94</v>
      </c>
      <c r="B10" s="346" t="s">
        <v>35</v>
      </c>
      <c r="C10" s="343">
        <v>372826162.69</v>
      </c>
      <c r="D10" s="343">
        <v>3810700458.4099998</v>
      </c>
    </row>
    <row r="11" spans="1:4" x14ac:dyDescent="0.25">
      <c r="A11" s="346" t="s">
        <v>95</v>
      </c>
      <c r="B11" s="346" t="s">
        <v>36</v>
      </c>
      <c r="C11" s="343">
        <v>112650249.66</v>
      </c>
      <c r="D11" s="343">
        <v>1665660361.3299999</v>
      </c>
    </row>
    <row r="12" spans="1:4" x14ac:dyDescent="0.25">
      <c r="A12" s="346" t="s">
        <v>96</v>
      </c>
      <c r="B12" s="346" t="s">
        <v>37</v>
      </c>
      <c r="C12" s="343">
        <v>19091837.140000001</v>
      </c>
      <c r="D12" s="343">
        <v>113438305.33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699797403.26999998</v>
      </c>
      <c r="D14" s="561">
        <f>SUM(D9:D13)</f>
        <v>7549952244</v>
      </c>
    </row>
    <row r="16" spans="1:4" x14ac:dyDescent="0.25">
      <c r="A16" s="346" t="s">
        <v>99</v>
      </c>
      <c r="B16" s="346" t="s">
        <v>100</v>
      </c>
      <c r="C16" s="343">
        <v>200416.1</v>
      </c>
      <c r="D16" s="343">
        <v>1908338.35</v>
      </c>
    </row>
    <row r="17" spans="1:4" x14ac:dyDescent="0.25">
      <c r="A17" s="346" t="s">
        <v>101</v>
      </c>
      <c r="B17" s="346" t="s">
        <v>102</v>
      </c>
      <c r="C17" s="343">
        <v>381420.89</v>
      </c>
      <c r="D17" s="343">
        <v>3705029.17</v>
      </c>
    </row>
    <row r="18" spans="1:4" x14ac:dyDescent="0.25">
      <c r="A18" s="346" t="s">
        <v>103</v>
      </c>
      <c r="B18" s="346" t="s">
        <v>104</v>
      </c>
      <c r="C18" s="343">
        <v>191441.01</v>
      </c>
      <c r="D18" s="343">
        <v>2340743.1800000002</v>
      </c>
    </row>
    <row r="19" spans="1:4" x14ac:dyDescent="0.25">
      <c r="A19" s="346" t="s">
        <v>105</v>
      </c>
      <c r="B19" s="346" t="s">
        <v>106</v>
      </c>
      <c r="C19" s="343">
        <v>19993.03</v>
      </c>
      <c r="D19" s="343">
        <v>109603.37</v>
      </c>
    </row>
    <row r="20" spans="1:4" x14ac:dyDescent="0.25">
      <c r="A20" s="559" t="s">
        <v>107</v>
      </c>
      <c r="B20" s="560"/>
      <c r="C20" s="561">
        <f>SUM(C16:C19)</f>
        <v>793271.03</v>
      </c>
      <c r="D20" s="561">
        <f>SUM(D16:D19)</f>
        <v>8063714.0699999994</v>
      </c>
    </row>
    <row r="22" spans="1:4" x14ac:dyDescent="0.25">
      <c r="A22" s="346" t="s">
        <v>108</v>
      </c>
      <c r="B22" s="346" t="s">
        <v>109</v>
      </c>
      <c r="C22" s="343">
        <v>228757.5</v>
      </c>
      <c r="D22" s="343">
        <v>716309.99</v>
      </c>
    </row>
    <row r="23" spans="1:4" x14ac:dyDescent="0.25">
      <c r="A23" s="346" t="s">
        <v>110</v>
      </c>
      <c r="B23" s="346" t="s">
        <v>111</v>
      </c>
      <c r="C23" s="343">
        <v>436771.05</v>
      </c>
      <c r="D23" s="343">
        <v>1386398.87</v>
      </c>
    </row>
    <row r="24" spans="1:4" x14ac:dyDescent="0.25">
      <c r="A24" s="346" t="s">
        <v>112</v>
      </c>
      <c r="B24" s="346" t="s">
        <v>113</v>
      </c>
      <c r="C24" s="343">
        <v>132007.04999999999</v>
      </c>
      <c r="D24" s="343">
        <v>536938.4</v>
      </c>
    </row>
    <row r="25" spans="1:4" x14ac:dyDescent="0.25">
      <c r="A25" s="346" t="s">
        <v>114</v>
      </c>
      <c r="B25" s="346" t="s">
        <v>115</v>
      </c>
      <c r="C25" s="343">
        <v>22383.85</v>
      </c>
      <c r="D25" s="343">
        <v>47969.71</v>
      </c>
    </row>
    <row r="26" spans="1:4" x14ac:dyDescent="0.25">
      <c r="A26" s="559" t="s">
        <v>116</v>
      </c>
      <c r="B26" s="560"/>
      <c r="C26" s="561">
        <f>SUM(C22:C25)</f>
        <v>819919.45000000007</v>
      </c>
      <c r="D26" s="561">
        <f>SUM(D22:D25)</f>
        <v>2687616.97</v>
      </c>
    </row>
    <row r="28" spans="1:4" x14ac:dyDescent="0.25">
      <c r="A28" s="346" t="s">
        <v>117</v>
      </c>
      <c r="B28" s="346" t="s">
        <v>118</v>
      </c>
      <c r="C28" s="343">
        <v>1918</v>
      </c>
      <c r="D28" s="343">
        <v>4963.97</v>
      </c>
    </row>
    <row r="29" spans="1:4" x14ac:dyDescent="0.25">
      <c r="A29" s="346" t="s">
        <v>119</v>
      </c>
      <c r="B29" s="346" t="s">
        <v>120</v>
      </c>
      <c r="C29" s="343">
        <v>3753.4</v>
      </c>
      <c r="D29" s="343">
        <v>9682.35</v>
      </c>
    </row>
    <row r="30" spans="1:4" x14ac:dyDescent="0.25">
      <c r="A30" s="346" t="s">
        <v>121</v>
      </c>
      <c r="B30" s="346" t="s">
        <v>122</v>
      </c>
      <c r="C30" s="343">
        <v>1230.5999999999999</v>
      </c>
      <c r="D30" s="343">
        <v>4019.67</v>
      </c>
    </row>
    <row r="31" spans="1:4" x14ac:dyDescent="0.25">
      <c r="A31" s="346" t="s">
        <v>123</v>
      </c>
      <c r="B31" s="346" t="s">
        <v>124</v>
      </c>
      <c r="C31" s="343">
        <v>98</v>
      </c>
      <c r="D31" s="343">
        <v>261.66000000000003</v>
      </c>
    </row>
    <row r="32" spans="1:4" x14ac:dyDescent="0.25">
      <c r="A32" s="559" t="s">
        <v>125</v>
      </c>
      <c r="B32" s="560"/>
      <c r="C32" s="561">
        <f>SUM(C28:C31)</f>
        <v>7000</v>
      </c>
      <c r="D32" s="561">
        <f>SUM(D28:D31)</f>
        <v>18927.649999999998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-4609187.09</v>
      </c>
      <c r="D40" s="343">
        <v>-5981596.0999999996</v>
      </c>
    </row>
    <row r="41" spans="1:4" x14ac:dyDescent="0.25">
      <c r="A41" s="346" t="s">
        <v>128</v>
      </c>
      <c r="B41" s="346" t="s">
        <v>348</v>
      </c>
      <c r="C41" s="343">
        <v>-8782193.0899999999</v>
      </c>
      <c r="D41" s="343">
        <v>-24400994.579999998</v>
      </c>
    </row>
    <row r="42" spans="1:4" x14ac:dyDescent="0.25">
      <c r="A42" s="346" t="s">
        <v>130</v>
      </c>
      <c r="B42" s="346" t="s">
        <v>349</v>
      </c>
      <c r="C42" s="343">
        <v>-2635089.9199999999</v>
      </c>
      <c r="D42" s="343">
        <v>-4439786.6100000003</v>
      </c>
    </row>
    <row r="43" spans="1:4" x14ac:dyDescent="0.25">
      <c r="A43" s="346" t="s">
        <v>132</v>
      </c>
      <c r="B43" s="346" t="s">
        <v>350</v>
      </c>
      <c r="C43" s="343">
        <v>-468892.6</v>
      </c>
      <c r="D43" s="343">
        <v>-546349.22</v>
      </c>
    </row>
    <row r="44" spans="1:4" x14ac:dyDescent="0.25">
      <c r="A44" s="559" t="s">
        <v>134</v>
      </c>
      <c r="B44" s="560"/>
      <c r="C44" s="561">
        <f>SUM(C40:C43)</f>
        <v>-16495362.699999999</v>
      </c>
      <c r="D44" s="561">
        <f>SUM(D40:D43)</f>
        <v>-35368726.509999998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-25593442.440000001</v>
      </c>
      <c r="D47" s="343">
        <v>-6471265.6799999997</v>
      </c>
    </row>
    <row r="48" spans="1:4" x14ac:dyDescent="0.25">
      <c r="A48" s="346" t="s">
        <v>330</v>
      </c>
      <c r="B48" s="346" t="s">
        <v>331</v>
      </c>
      <c r="C48" s="343">
        <v>-5688061</v>
      </c>
      <c r="D48" s="343">
        <v>104713065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-31281503.440000001</v>
      </c>
      <c r="D50" s="561">
        <f>SUM(D46:D49)</f>
        <v>98241799.319999993</v>
      </c>
    </row>
    <row r="52" spans="1:4" x14ac:dyDescent="0.25">
      <c r="A52" s="346" t="s">
        <v>135</v>
      </c>
      <c r="B52" s="346" t="s">
        <v>385</v>
      </c>
      <c r="C52" s="343">
        <v>-182091451.19999999</v>
      </c>
      <c r="D52" s="343">
        <v>-1710154967.79</v>
      </c>
    </row>
    <row r="53" spans="1:4" x14ac:dyDescent="0.25">
      <c r="A53" s="346" t="s">
        <v>137</v>
      </c>
      <c r="B53" s="346" t="s">
        <v>386</v>
      </c>
      <c r="C53" s="343">
        <v>-351617126.68000001</v>
      </c>
      <c r="D53" s="343">
        <v>-3336183874.8899999</v>
      </c>
    </row>
    <row r="54" spans="1:4" x14ac:dyDescent="0.25">
      <c r="A54" s="346" t="s">
        <v>139</v>
      </c>
      <c r="B54" s="346" t="s">
        <v>387</v>
      </c>
      <c r="C54" s="343">
        <v>-151728370.94</v>
      </c>
      <c r="D54" s="343">
        <v>-1674541790.8900001</v>
      </c>
    </row>
    <row r="55" spans="1:4" x14ac:dyDescent="0.25">
      <c r="A55" s="346" t="s">
        <v>141</v>
      </c>
      <c r="B55" s="346" t="s">
        <v>388</v>
      </c>
      <c r="C55" s="343">
        <v>-10960906.210000001</v>
      </c>
      <c r="D55" s="343">
        <v>-114107617.23999999</v>
      </c>
    </row>
    <row r="56" spans="1:4" x14ac:dyDescent="0.25">
      <c r="A56" s="559" t="s">
        <v>143</v>
      </c>
      <c r="B56" s="560"/>
      <c r="C56" s="561">
        <f>SUM(C52:C55)</f>
        <v>-696397855.02999997</v>
      </c>
      <c r="D56" s="561">
        <f>SUM(D52:D55)</f>
        <v>-6834988250.8100004</v>
      </c>
    </row>
    <row r="58" spans="1:4" x14ac:dyDescent="0.25">
      <c r="A58" s="346" t="s">
        <v>351</v>
      </c>
      <c r="B58" s="346" t="s">
        <v>352</v>
      </c>
      <c r="C58" s="343">
        <v>-844645.98</v>
      </c>
      <c r="D58" s="343">
        <v>16249341.09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-844645.98</v>
      </c>
      <c r="D60" s="343">
        <f>SUM(D58:D59)</f>
        <v>16249341.09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-5500425.8099999996</v>
      </c>
      <c r="D72" s="343">
        <v>-57307787.079999998</v>
      </c>
    </row>
    <row r="73" spans="1:4" x14ac:dyDescent="0.25">
      <c r="A73" s="346" t="s">
        <v>152</v>
      </c>
      <c r="B73" s="346" t="s">
        <v>41</v>
      </c>
      <c r="C73" s="343">
        <v>-1774492.75</v>
      </c>
      <c r="D73" s="343">
        <v>-18063948.100000001</v>
      </c>
    </row>
    <row r="74" spans="1:4" x14ac:dyDescent="0.25">
      <c r="A74" s="346" t="s">
        <v>153</v>
      </c>
      <c r="B74" s="346" t="s">
        <v>42</v>
      </c>
      <c r="C74" s="343">
        <v>-859525.71</v>
      </c>
      <c r="D74" s="343">
        <v>-8290041.6900000004</v>
      </c>
    </row>
    <row r="75" spans="1:4" x14ac:dyDescent="0.25">
      <c r="A75" s="346" t="s">
        <v>154</v>
      </c>
      <c r="B75" s="346" t="s">
        <v>43</v>
      </c>
      <c r="C75" s="343">
        <v>-1090222.19</v>
      </c>
      <c r="D75" s="343">
        <v>-11464154.1</v>
      </c>
    </row>
    <row r="76" spans="1:4" x14ac:dyDescent="0.25">
      <c r="A76" s="559" t="s">
        <v>155</v>
      </c>
      <c r="B76" s="560"/>
      <c r="C76" s="561">
        <f>SUM(C72:C75)</f>
        <v>-9224666.459999999</v>
      </c>
      <c r="D76" s="561">
        <f>SUM(D72:D75)</f>
        <v>-95125930.969999999</v>
      </c>
    </row>
    <row r="78" spans="1:4" x14ac:dyDescent="0.25">
      <c r="A78" s="346" t="s">
        <v>156</v>
      </c>
      <c r="B78" s="346" t="s">
        <v>394</v>
      </c>
      <c r="C78" s="343">
        <v>1292419.22</v>
      </c>
      <c r="D78" s="343">
        <v>13242808.029999999</v>
      </c>
    </row>
    <row r="79" spans="1:4" x14ac:dyDescent="0.25">
      <c r="A79" s="346" t="s">
        <v>158</v>
      </c>
      <c r="B79" s="346" t="s">
        <v>395</v>
      </c>
      <c r="C79" s="343">
        <v>306522.21999999997</v>
      </c>
      <c r="D79" s="343">
        <v>3434534.18</v>
      </c>
    </row>
    <row r="80" spans="1:4" x14ac:dyDescent="0.25">
      <c r="A80" s="346" t="s">
        <v>160</v>
      </c>
      <c r="B80" s="346" t="s">
        <v>396</v>
      </c>
      <c r="C80" s="343">
        <v>65891.14</v>
      </c>
      <c r="D80" s="343">
        <v>583594.9</v>
      </c>
    </row>
    <row r="81" spans="1:4" x14ac:dyDescent="0.25">
      <c r="A81" s="346" t="s">
        <v>162</v>
      </c>
      <c r="B81" s="346" t="s">
        <v>397</v>
      </c>
      <c r="C81" s="343">
        <v>92064.59</v>
      </c>
      <c r="D81" s="343">
        <v>1263191.71</v>
      </c>
    </row>
    <row r="82" spans="1:4" x14ac:dyDescent="0.25">
      <c r="A82" s="559" t="s">
        <v>164</v>
      </c>
      <c r="B82" s="560"/>
      <c r="C82" s="561">
        <f>SUM(C78:C81)</f>
        <v>1756897.17</v>
      </c>
      <c r="D82" s="561">
        <f>SUM(D78:D81)</f>
        <v>18524128.82</v>
      </c>
    </row>
    <row r="84" spans="1:4" x14ac:dyDescent="0.25">
      <c r="A84" s="559" t="s">
        <v>31</v>
      </c>
      <c r="B84" s="560"/>
      <c r="C84" s="561">
        <f>C14+C20+C26+C32+C44+C56+C62+C70+C76+C82+C50+C38+C60</f>
        <v>-51069542.69000002</v>
      </c>
      <c r="D84" s="561">
        <f>D14+D20+D26+D32+D44+D56+D62+D70+D76+D82+D50+D38+D60</f>
        <v>728254863.62999904</v>
      </c>
    </row>
  </sheetData>
  <pageMargins left="0.7" right="0.7" top="0.25" bottom="0.25" header="0.3" footer="0.3"/>
  <pageSetup scale="72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opLeftCell="A41" workbookViewId="0">
      <selection activeCell="C84" sqref="C84"/>
    </sheetView>
  </sheetViews>
  <sheetFormatPr defaultColWidth="9.109375" defaultRowHeight="13.2" x14ac:dyDescent="0.25"/>
  <cols>
    <col min="1" max="1" width="30.6640625" style="536" customWidth="1"/>
    <col min="2" max="2" width="33.6640625" style="536" customWidth="1"/>
    <col min="3" max="4" width="22.6640625" style="547" customWidth="1"/>
    <col min="5" max="16384" width="9.109375" style="536"/>
  </cols>
  <sheetData>
    <row r="1" spans="1:4" x14ac:dyDescent="0.25">
      <c r="B1" s="537" t="s">
        <v>53</v>
      </c>
      <c r="C1" s="538"/>
      <c r="D1" s="538"/>
    </row>
    <row r="2" spans="1:4" x14ac:dyDescent="0.25">
      <c r="B2" s="539" t="s">
        <v>86</v>
      </c>
      <c r="C2" s="540"/>
      <c r="D2" s="540"/>
    </row>
    <row r="3" spans="1:4" x14ac:dyDescent="0.25">
      <c r="B3" s="537" t="s">
        <v>389</v>
      </c>
      <c r="C3" s="538"/>
      <c r="D3" s="538"/>
    </row>
    <row r="4" spans="1:4" x14ac:dyDescent="0.25">
      <c r="B4" s="537" t="s">
        <v>376</v>
      </c>
      <c r="C4" s="538"/>
      <c r="D4" s="538"/>
    </row>
    <row r="5" spans="1:4" x14ac:dyDescent="0.25">
      <c r="B5" s="541" t="s">
        <v>390</v>
      </c>
      <c r="C5" s="542"/>
      <c r="D5" s="542"/>
    </row>
    <row r="7" spans="1:4" x14ac:dyDescent="0.25">
      <c r="B7" s="543" t="s">
        <v>30</v>
      </c>
      <c r="C7" s="544" t="s">
        <v>188</v>
      </c>
      <c r="D7" s="544" t="s">
        <v>92</v>
      </c>
    </row>
    <row r="9" spans="1:4" x14ac:dyDescent="0.25">
      <c r="A9" s="545" t="s">
        <v>93</v>
      </c>
      <c r="B9" s="545" t="s">
        <v>34</v>
      </c>
      <c r="C9" s="546">
        <v>197893330.62</v>
      </c>
      <c r="D9" s="546">
        <v>1764923965.1500001</v>
      </c>
    </row>
    <row r="10" spans="1:4" x14ac:dyDescent="0.25">
      <c r="A10" s="545" t="s">
        <v>94</v>
      </c>
      <c r="B10" s="545" t="s">
        <v>35</v>
      </c>
      <c r="C10" s="547">
        <v>387360600.33999997</v>
      </c>
      <c r="D10" s="547">
        <v>3437874295.7199998</v>
      </c>
    </row>
    <row r="11" spans="1:4" x14ac:dyDescent="0.25">
      <c r="A11" s="545" t="s">
        <v>95</v>
      </c>
      <c r="B11" s="545" t="s">
        <v>36</v>
      </c>
      <c r="C11" s="547">
        <v>127083084.72</v>
      </c>
      <c r="D11" s="547">
        <v>1553010111.6700001</v>
      </c>
    </row>
    <row r="12" spans="1:4" x14ac:dyDescent="0.25">
      <c r="A12" s="545" t="s">
        <v>96</v>
      </c>
      <c r="B12" s="545" t="s">
        <v>37</v>
      </c>
      <c r="C12" s="547">
        <v>10140107.98</v>
      </c>
      <c r="D12" s="547">
        <v>94346468.189999998</v>
      </c>
    </row>
    <row r="13" spans="1:4" x14ac:dyDescent="0.25">
      <c r="A13" s="545" t="s">
        <v>97</v>
      </c>
      <c r="B13" s="545" t="s">
        <v>38</v>
      </c>
      <c r="C13" s="547">
        <v>0</v>
      </c>
      <c r="D13" s="547">
        <v>0</v>
      </c>
    </row>
    <row r="14" spans="1:4" x14ac:dyDescent="0.25">
      <c r="A14" s="548" t="s">
        <v>98</v>
      </c>
      <c r="B14" s="549"/>
      <c r="C14" s="550">
        <f>SUM(C9:C13)</f>
        <v>722477123.66000009</v>
      </c>
      <c r="D14" s="550">
        <f>SUM(D9:D13)</f>
        <v>6850154840.7299995</v>
      </c>
    </row>
    <row r="16" spans="1:4" x14ac:dyDescent="0.25">
      <c r="A16" s="545" t="s">
        <v>99</v>
      </c>
      <c r="B16" s="545" t="s">
        <v>100</v>
      </c>
      <c r="C16" s="547">
        <v>187927.42</v>
      </c>
      <c r="D16" s="547">
        <v>1707922.25</v>
      </c>
    </row>
    <row r="17" spans="1:4" x14ac:dyDescent="0.25">
      <c r="A17" s="545" t="s">
        <v>101</v>
      </c>
      <c r="B17" s="545" t="s">
        <v>102</v>
      </c>
      <c r="C17" s="547">
        <v>365631.02</v>
      </c>
      <c r="D17" s="547">
        <v>3323608.28</v>
      </c>
    </row>
    <row r="18" spans="1:4" x14ac:dyDescent="0.25">
      <c r="A18" s="545" t="s">
        <v>103</v>
      </c>
      <c r="B18" s="545" t="s">
        <v>104</v>
      </c>
      <c r="C18" s="547">
        <v>192032.81</v>
      </c>
      <c r="D18" s="547">
        <v>2149302.17</v>
      </c>
    </row>
    <row r="19" spans="1:4" x14ac:dyDescent="0.25">
      <c r="A19" s="545" t="s">
        <v>105</v>
      </c>
      <c r="B19" s="545" t="s">
        <v>106</v>
      </c>
      <c r="C19" s="547">
        <v>11645.91</v>
      </c>
      <c r="D19" s="547">
        <v>89610.34</v>
      </c>
    </row>
    <row r="20" spans="1:4" x14ac:dyDescent="0.25">
      <c r="A20" s="548" t="s">
        <v>107</v>
      </c>
      <c r="B20" s="549"/>
      <c r="C20" s="550">
        <f>SUM(C16:C19)</f>
        <v>757237.16</v>
      </c>
      <c r="D20" s="550">
        <f>SUM(D16:D19)</f>
        <v>7270443.0399999991</v>
      </c>
    </row>
    <row r="22" spans="1:4" x14ac:dyDescent="0.25">
      <c r="A22" s="545" t="s">
        <v>108</v>
      </c>
      <c r="B22" s="545" t="s">
        <v>109</v>
      </c>
      <c r="C22" s="547">
        <v>51458.75</v>
      </c>
      <c r="D22" s="547">
        <v>487552.49</v>
      </c>
    </row>
    <row r="23" spans="1:4" x14ac:dyDescent="0.25">
      <c r="A23" s="545" t="s">
        <v>110</v>
      </c>
      <c r="B23" s="545" t="s">
        <v>111</v>
      </c>
      <c r="C23" s="547">
        <v>100701.42</v>
      </c>
      <c r="D23" s="547">
        <v>949627.82</v>
      </c>
    </row>
    <row r="24" spans="1:4" x14ac:dyDescent="0.25">
      <c r="A24" s="545" t="s">
        <v>112</v>
      </c>
      <c r="B24" s="545" t="s">
        <v>113</v>
      </c>
      <c r="C24" s="547">
        <v>33016.239999999998</v>
      </c>
      <c r="D24" s="547">
        <v>404931.35</v>
      </c>
    </row>
    <row r="25" spans="1:4" x14ac:dyDescent="0.25">
      <c r="A25" s="545" t="s">
        <v>114</v>
      </c>
      <c r="B25" s="545" t="s">
        <v>115</v>
      </c>
      <c r="C25" s="547">
        <v>2629.34</v>
      </c>
      <c r="D25" s="547">
        <v>25585.86</v>
      </c>
    </row>
    <row r="26" spans="1:4" x14ac:dyDescent="0.25">
      <c r="A26" s="548" t="s">
        <v>116</v>
      </c>
      <c r="B26" s="549"/>
      <c r="C26" s="550">
        <f>SUM(C22:C25)</f>
        <v>187805.74999999997</v>
      </c>
      <c r="D26" s="550">
        <f>SUM(D22:D25)</f>
        <v>1867697.5200000003</v>
      </c>
    </row>
    <row r="28" spans="1:4" x14ac:dyDescent="0.25">
      <c r="A28" s="545" t="s">
        <v>117</v>
      </c>
      <c r="B28" s="545" t="s">
        <v>118</v>
      </c>
      <c r="C28" s="547">
        <v>274</v>
      </c>
      <c r="D28" s="547">
        <v>3045.97</v>
      </c>
    </row>
    <row r="29" spans="1:4" x14ac:dyDescent="0.25">
      <c r="A29" s="545" t="s">
        <v>119</v>
      </c>
      <c r="B29" s="545" t="s">
        <v>120</v>
      </c>
      <c r="C29" s="547">
        <v>536.20000000000005</v>
      </c>
      <c r="D29" s="547">
        <v>5928.95</v>
      </c>
    </row>
    <row r="30" spans="1:4" x14ac:dyDescent="0.25">
      <c r="A30" s="545" t="s">
        <v>121</v>
      </c>
      <c r="B30" s="545" t="s">
        <v>122</v>
      </c>
      <c r="C30" s="547">
        <v>175.8</v>
      </c>
      <c r="D30" s="547">
        <v>2789.07</v>
      </c>
    </row>
    <row r="31" spans="1:4" x14ac:dyDescent="0.25">
      <c r="A31" s="545" t="s">
        <v>123</v>
      </c>
      <c r="B31" s="545" t="s">
        <v>124</v>
      </c>
      <c r="C31" s="547">
        <v>14</v>
      </c>
      <c r="D31" s="547">
        <v>163.66</v>
      </c>
    </row>
    <row r="32" spans="1:4" x14ac:dyDescent="0.25">
      <c r="A32" s="548" t="s">
        <v>125</v>
      </c>
      <c r="B32" s="549"/>
      <c r="C32" s="550">
        <f>SUM(C28:C31)</f>
        <v>1000</v>
      </c>
      <c r="D32" s="550">
        <f>SUM(D28:D31)</f>
        <v>11927.65</v>
      </c>
    </row>
    <row r="34" spans="1:4" x14ac:dyDescent="0.25">
      <c r="A34" s="545" t="s">
        <v>317</v>
      </c>
      <c r="B34" s="545" t="s">
        <v>318</v>
      </c>
      <c r="C34" s="547">
        <v>0</v>
      </c>
      <c r="D34" s="547">
        <v>0</v>
      </c>
    </row>
    <row r="35" spans="1:4" x14ac:dyDescent="0.25">
      <c r="A35" s="545" t="s">
        <v>319</v>
      </c>
      <c r="B35" s="545" t="s">
        <v>320</v>
      </c>
      <c r="C35" s="547">
        <v>0</v>
      </c>
      <c r="D35" s="547">
        <v>0</v>
      </c>
    </row>
    <row r="36" spans="1:4" x14ac:dyDescent="0.25">
      <c r="A36" s="545" t="s">
        <v>321</v>
      </c>
      <c r="B36" s="545" t="s">
        <v>322</v>
      </c>
      <c r="C36" s="547">
        <v>0</v>
      </c>
      <c r="D36" s="547">
        <v>0</v>
      </c>
    </row>
    <row r="37" spans="1:4" x14ac:dyDescent="0.25">
      <c r="A37" s="545" t="s">
        <v>323</v>
      </c>
      <c r="B37" s="545" t="s">
        <v>324</v>
      </c>
      <c r="C37" s="547">
        <v>0</v>
      </c>
      <c r="D37" s="547">
        <v>0</v>
      </c>
    </row>
    <row r="38" spans="1:4" x14ac:dyDescent="0.25">
      <c r="A38" s="548" t="s">
        <v>325</v>
      </c>
      <c r="B38" s="549"/>
      <c r="C38" s="550">
        <f>SUM(C34:C37)</f>
        <v>0</v>
      </c>
      <c r="D38" s="550">
        <f>SUM(D34:D37)</f>
        <v>0</v>
      </c>
    </row>
    <row r="40" spans="1:4" x14ac:dyDescent="0.25">
      <c r="A40" s="545" t="s">
        <v>126</v>
      </c>
      <c r="B40" s="545" t="s">
        <v>347</v>
      </c>
      <c r="C40" s="547">
        <v>531435.61</v>
      </c>
      <c r="D40" s="547">
        <v>-1372409.01</v>
      </c>
    </row>
    <row r="41" spans="1:4" x14ac:dyDescent="0.25">
      <c r="A41" s="545" t="s">
        <v>128</v>
      </c>
      <c r="B41" s="545" t="s">
        <v>348</v>
      </c>
      <c r="C41" s="547">
        <v>1039984.6</v>
      </c>
      <c r="D41" s="547">
        <v>-15618801.49</v>
      </c>
    </row>
    <row r="42" spans="1:4" x14ac:dyDescent="0.25">
      <c r="A42" s="545" t="s">
        <v>130</v>
      </c>
      <c r="B42" s="545" t="s">
        <v>349</v>
      </c>
      <c r="C42" s="547">
        <v>115617.9</v>
      </c>
      <c r="D42" s="547">
        <v>-1804696.69</v>
      </c>
    </row>
    <row r="43" spans="1:4" x14ac:dyDescent="0.25">
      <c r="A43" s="545" t="s">
        <v>132</v>
      </c>
      <c r="B43" s="545" t="s">
        <v>350</v>
      </c>
      <c r="C43" s="547">
        <v>27153.65</v>
      </c>
      <c r="D43" s="547">
        <v>-77456.62</v>
      </c>
    </row>
    <row r="44" spans="1:4" x14ac:dyDescent="0.25">
      <c r="A44" s="548" t="s">
        <v>134</v>
      </c>
      <c r="B44" s="549"/>
      <c r="C44" s="550">
        <f>SUM(C40:C43)</f>
        <v>1714191.7599999998</v>
      </c>
      <c r="D44" s="550">
        <f>SUM(D40:D43)</f>
        <v>-18873363.810000002</v>
      </c>
    </row>
    <row r="46" spans="1:4" x14ac:dyDescent="0.25">
      <c r="A46" s="545" t="s">
        <v>326</v>
      </c>
      <c r="B46" s="545" t="s">
        <v>327</v>
      </c>
      <c r="C46" s="547">
        <v>0</v>
      </c>
      <c r="D46" s="547">
        <v>0</v>
      </c>
    </row>
    <row r="47" spans="1:4" x14ac:dyDescent="0.25">
      <c r="A47" s="545" t="s">
        <v>328</v>
      </c>
      <c r="B47" s="545" t="s">
        <v>329</v>
      </c>
      <c r="C47" s="547">
        <v>-9277877.2400000002</v>
      </c>
      <c r="D47" s="547">
        <v>19122176.760000002</v>
      </c>
    </row>
    <row r="48" spans="1:4" x14ac:dyDescent="0.25">
      <c r="A48" s="545" t="s">
        <v>330</v>
      </c>
      <c r="B48" s="545" t="s">
        <v>331</v>
      </c>
      <c r="C48" s="547">
        <v>-414118</v>
      </c>
      <c r="D48" s="547">
        <v>110401126</v>
      </c>
    </row>
    <row r="49" spans="1:4" x14ac:dyDescent="0.25">
      <c r="A49" s="545" t="s">
        <v>332</v>
      </c>
      <c r="B49" s="545" t="s">
        <v>333</v>
      </c>
      <c r="C49" s="547">
        <v>0</v>
      </c>
      <c r="D49" s="547">
        <v>0</v>
      </c>
    </row>
    <row r="50" spans="1:4" x14ac:dyDescent="0.25">
      <c r="A50" s="548" t="s">
        <v>334</v>
      </c>
      <c r="B50" s="549"/>
      <c r="C50" s="550">
        <f>SUM(C46:C49)</f>
        <v>-9691995.2400000002</v>
      </c>
      <c r="D50" s="550">
        <f>SUM(D46:D49)</f>
        <v>129523302.76000001</v>
      </c>
    </row>
    <row r="52" spans="1:4" x14ac:dyDescent="0.25">
      <c r="A52" s="545" t="s">
        <v>135</v>
      </c>
      <c r="B52" s="545" t="s">
        <v>385</v>
      </c>
      <c r="C52" s="547">
        <v>-171102622.74000001</v>
      </c>
      <c r="D52" s="547">
        <v>-1528063516.5899999</v>
      </c>
    </row>
    <row r="53" spans="1:4" x14ac:dyDescent="0.25">
      <c r="A53" s="545" t="s">
        <v>137</v>
      </c>
      <c r="B53" s="545" t="s">
        <v>386</v>
      </c>
      <c r="C53" s="547">
        <v>-327215629.69</v>
      </c>
      <c r="D53" s="547">
        <v>-2984566748.21</v>
      </c>
    </row>
    <row r="54" spans="1:4" x14ac:dyDescent="0.25">
      <c r="A54" s="545" t="s">
        <v>139</v>
      </c>
      <c r="B54" s="545" t="s">
        <v>387</v>
      </c>
      <c r="C54" s="547">
        <v>-146293546.55000001</v>
      </c>
      <c r="D54" s="547">
        <v>-1522813419.95</v>
      </c>
    </row>
    <row r="55" spans="1:4" x14ac:dyDescent="0.25">
      <c r="A55" s="545" t="s">
        <v>141</v>
      </c>
      <c r="B55" s="545" t="s">
        <v>388</v>
      </c>
      <c r="C55" s="547">
        <v>-19042788.199999999</v>
      </c>
      <c r="D55" s="547">
        <v>-103146711.03</v>
      </c>
    </row>
    <row r="56" spans="1:4" x14ac:dyDescent="0.25">
      <c r="A56" s="548" t="s">
        <v>143</v>
      </c>
      <c r="B56" s="549"/>
      <c r="C56" s="550">
        <f>SUM(C52:C55)</f>
        <v>-663654587.18000007</v>
      </c>
      <c r="D56" s="550">
        <f>SUM(D52:D55)</f>
        <v>-6138590395.7799997</v>
      </c>
    </row>
    <row r="58" spans="1:4" x14ac:dyDescent="0.25">
      <c r="A58" s="545" t="s">
        <v>351</v>
      </c>
      <c r="B58" s="545" t="s">
        <v>352</v>
      </c>
      <c r="C58" s="547">
        <v>2358820.4300000002</v>
      </c>
      <c r="D58" s="547">
        <v>17093987.07</v>
      </c>
    </row>
    <row r="59" spans="1:4" x14ac:dyDescent="0.25">
      <c r="A59" s="545" t="s">
        <v>353</v>
      </c>
      <c r="B59" s="545" t="s">
        <v>354</v>
      </c>
      <c r="C59" s="547">
        <v>0</v>
      </c>
      <c r="D59" s="547">
        <v>0</v>
      </c>
    </row>
    <row r="60" spans="1:4" x14ac:dyDescent="0.25">
      <c r="C60" s="547">
        <f>SUM(C58:C59)</f>
        <v>2358820.4300000002</v>
      </c>
      <c r="D60" s="547">
        <f>SUM(D58:D59)</f>
        <v>17093987.07</v>
      </c>
    </row>
    <row r="62" spans="1:4" x14ac:dyDescent="0.25">
      <c r="A62" s="548" t="s">
        <v>144</v>
      </c>
      <c r="B62" s="548" t="s">
        <v>39</v>
      </c>
      <c r="C62" s="550">
        <v>6589816.3300000001</v>
      </c>
      <c r="D62" s="550">
        <v>0</v>
      </c>
    </row>
    <row r="63" spans="1:4" x14ac:dyDescent="0.25">
      <c r="A63" s="545" t="s">
        <v>145</v>
      </c>
    </row>
    <row r="66" spans="1:4" x14ac:dyDescent="0.25">
      <c r="A66" s="545" t="s">
        <v>146</v>
      </c>
      <c r="B66" s="545" t="s">
        <v>80</v>
      </c>
      <c r="C66" s="547">
        <v>0</v>
      </c>
      <c r="D66" s="547">
        <v>0</v>
      </c>
    </row>
    <row r="67" spans="1:4" x14ac:dyDescent="0.25">
      <c r="A67" s="545" t="s">
        <v>147</v>
      </c>
      <c r="B67" s="545" t="s">
        <v>81</v>
      </c>
      <c r="C67" s="547">
        <v>0</v>
      </c>
      <c r="D67" s="547">
        <v>0</v>
      </c>
    </row>
    <row r="68" spans="1:4" x14ac:dyDescent="0.25">
      <c r="A68" s="545" t="s">
        <v>148</v>
      </c>
      <c r="B68" s="545" t="s">
        <v>82</v>
      </c>
      <c r="C68" s="547">
        <v>0</v>
      </c>
      <c r="D68" s="547">
        <v>0</v>
      </c>
    </row>
    <row r="69" spans="1:4" x14ac:dyDescent="0.25">
      <c r="A69" s="545" t="s">
        <v>149</v>
      </c>
      <c r="B69" s="545" t="s">
        <v>83</v>
      </c>
      <c r="C69" s="547">
        <v>0</v>
      </c>
      <c r="D69" s="547">
        <v>0</v>
      </c>
    </row>
    <row r="70" spans="1:4" x14ac:dyDescent="0.25">
      <c r="A70" s="548" t="s">
        <v>150</v>
      </c>
      <c r="B70" s="549"/>
      <c r="C70" s="550">
        <f>SUM(C66:C69)</f>
        <v>0</v>
      </c>
      <c r="D70" s="550">
        <f>SUM(D66:D69)</f>
        <v>0</v>
      </c>
    </row>
    <row r="72" spans="1:4" x14ac:dyDescent="0.25">
      <c r="A72" s="545" t="s">
        <v>151</v>
      </c>
      <c r="B72" s="545" t="s">
        <v>40</v>
      </c>
      <c r="C72" s="547">
        <v>-5537429.4100000001</v>
      </c>
      <c r="D72" s="547">
        <v>-51807361.270000003</v>
      </c>
    </row>
    <row r="73" spans="1:4" x14ac:dyDescent="0.25">
      <c r="A73" s="545" t="s">
        <v>152</v>
      </c>
      <c r="B73" s="545" t="s">
        <v>41</v>
      </c>
      <c r="C73" s="547">
        <v>-1658959.58</v>
      </c>
      <c r="D73" s="547">
        <v>-16289455.35</v>
      </c>
    </row>
    <row r="74" spans="1:4" x14ac:dyDescent="0.25">
      <c r="A74" s="545" t="s">
        <v>153</v>
      </c>
      <c r="B74" s="545" t="s">
        <v>42</v>
      </c>
      <c r="C74" s="547">
        <v>-802259.81</v>
      </c>
      <c r="D74" s="547">
        <v>-7430515.9800000004</v>
      </c>
    </row>
    <row r="75" spans="1:4" x14ac:dyDescent="0.25">
      <c r="A75" s="545" t="s">
        <v>154</v>
      </c>
      <c r="B75" s="545" t="s">
        <v>43</v>
      </c>
      <c r="C75" s="547">
        <v>-1050307.31</v>
      </c>
      <c r="D75" s="547">
        <v>-10373931.91</v>
      </c>
    </row>
    <row r="76" spans="1:4" x14ac:dyDescent="0.25">
      <c r="A76" s="548" t="s">
        <v>155</v>
      </c>
      <c r="B76" s="549"/>
      <c r="C76" s="550">
        <f>SUM(C72:C75)</f>
        <v>-9048956.1100000013</v>
      </c>
      <c r="D76" s="550">
        <f>SUM(D72:D75)</f>
        <v>-85901264.510000005</v>
      </c>
    </row>
    <row r="78" spans="1:4" x14ac:dyDescent="0.25">
      <c r="A78" s="545" t="s">
        <v>156</v>
      </c>
      <c r="B78" s="545" t="s">
        <v>392</v>
      </c>
      <c r="C78" s="547">
        <f>1302760.34+34522.5</f>
        <v>1337282.8400000001</v>
      </c>
      <c r="D78" s="547">
        <v>11923915.67</v>
      </c>
    </row>
    <row r="79" spans="1:4" x14ac:dyDescent="0.25">
      <c r="A79" s="545" t="s">
        <v>158</v>
      </c>
      <c r="B79" s="545" t="s">
        <v>159</v>
      </c>
      <c r="C79" s="547">
        <f>294799.85+8590.76</f>
        <v>303390.61</v>
      </c>
      <c r="D79" s="547">
        <v>3147714.94</v>
      </c>
    </row>
    <row r="80" spans="1:4" x14ac:dyDescent="0.25">
      <c r="A80" s="545" t="s">
        <v>160</v>
      </c>
      <c r="B80" s="545" t="s">
        <v>161</v>
      </c>
      <c r="C80" s="547">
        <f>48889.48+1471.68</f>
        <v>50361.16</v>
      </c>
      <c r="D80" s="547">
        <v>526700.38</v>
      </c>
    </row>
    <row r="81" spans="1:4" x14ac:dyDescent="0.25">
      <c r="A81" s="545" t="s">
        <v>162</v>
      </c>
      <c r="B81" s="545" t="s">
        <v>163</v>
      </c>
      <c r="C81" s="547">
        <f>94164.23+3311.95</f>
        <v>97476.18</v>
      </c>
      <c r="D81" s="547">
        <v>1168900.6599999999</v>
      </c>
    </row>
    <row r="82" spans="1:4" x14ac:dyDescent="0.25">
      <c r="A82" s="548" t="s">
        <v>164</v>
      </c>
      <c r="B82" s="549"/>
      <c r="C82" s="550">
        <f>SUM(C78:C81)</f>
        <v>1788510.79</v>
      </c>
      <c r="D82" s="550">
        <f>SUM(D78:D81)</f>
        <v>16767231.65</v>
      </c>
    </row>
    <row r="84" spans="1:4" x14ac:dyDescent="0.25">
      <c r="A84" s="548" t="s">
        <v>31</v>
      </c>
      <c r="B84" s="549"/>
      <c r="C84" s="550">
        <f>C14+C20+C26+C32+C44+C56+C62+C70+C76+C82+C50+C38+C60</f>
        <v>53478967.349999972</v>
      </c>
      <c r="D84" s="550">
        <f>D14+D20+D26+D32+D44+D56+D62+D70+D76+D82+D50+D38+D60</f>
        <v>779324406.31999946</v>
      </c>
    </row>
  </sheetData>
  <pageMargins left="0.75" right="0.75" top="0.75" bottom="0.75" header="0.5" footer="0.5"/>
  <pageSetup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1" zoomScaleNormal="100" workbookViewId="0">
      <selection activeCell="C78" sqref="C78:D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547" customWidth="1"/>
  </cols>
  <sheetData>
    <row r="1" spans="1:4" x14ac:dyDescent="0.25">
      <c r="B1" s="551" t="s">
        <v>53</v>
      </c>
      <c r="C1" s="538"/>
      <c r="D1" s="538"/>
    </row>
    <row r="2" spans="1:4" x14ac:dyDescent="0.25">
      <c r="B2" s="552" t="s">
        <v>86</v>
      </c>
      <c r="C2" s="540"/>
      <c r="D2" s="540"/>
    </row>
    <row r="3" spans="1:4" x14ac:dyDescent="0.25">
      <c r="B3" s="551" t="s">
        <v>384</v>
      </c>
      <c r="C3" s="538"/>
      <c r="D3" s="538"/>
    </row>
    <row r="4" spans="1:4" x14ac:dyDescent="0.25">
      <c r="B4" s="551" t="s">
        <v>376</v>
      </c>
      <c r="C4" s="538"/>
      <c r="D4" s="538"/>
    </row>
    <row r="5" spans="1:4" x14ac:dyDescent="0.25">
      <c r="B5" s="341" t="s">
        <v>391</v>
      </c>
      <c r="C5" s="542"/>
      <c r="D5" s="542"/>
    </row>
    <row r="7" spans="1:4" x14ac:dyDescent="0.25">
      <c r="B7" s="344" t="s">
        <v>30</v>
      </c>
      <c r="C7" s="544" t="s">
        <v>185</v>
      </c>
      <c r="D7" s="544" t="s">
        <v>92</v>
      </c>
    </row>
    <row r="9" spans="1:4" x14ac:dyDescent="0.25">
      <c r="A9" s="346" t="s">
        <v>93</v>
      </c>
      <c r="B9" s="346" t="s">
        <v>34</v>
      </c>
      <c r="C9" s="546">
        <v>196868556.16</v>
      </c>
      <c r="D9" s="546">
        <v>1567030634.53</v>
      </c>
    </row>
    <row r="10" spans="1:4" x14ac:dyDescent="0.25">
      <c r="A10" s="346" t="s">
        <v>94</v>
      </c>
      <c r="B10" s="346" t="s">
        <v>35</v>
      </c>
      <c r="C10" s="547">
        <v>385328420.77999997</v>
      </c>
      <c r="D10" s="547">
        <v>3050513695.3800001</v>
      </c>
    </row>
    <row r="11" spans="1:4" x14ac:dyDescent="0.25">
      <c r="A11" s="346" t="s">
        <v>95</v>
      </c>
      <c r="B11" s="346" t="s">
        <v>36</v>
      </c>
      <c r="C11" s="547">
        <v>126259145.17</v>
      </c>
      <c r="D11" s="547">
        <v>1425927026.95</v>
      </c>
    </row>
    <row r="12" spans="1:4" x14ac:dyDescent="0.25">
      <c r="A12" s="346" t="s">
        <v>96</v>
      </c>
      <c r="B12" s="346" t="s">
        <v>37</v>
      </c>
      <c r="C12" s="547">
        <v>10108692.15</v>
      </c>
      <c r="D12" s="547">
        <v>84206360.209999993</v>
      </c>
    </row>
    <row r="13" spans="1:4" x14ac:dyDescent="0.25">
      <c r="A13" s="346" t="s">
        <v>97</v>
      </c>
      <c r="B13" s="346" t="s">
        <v>38</v>
      </c>
      <c r="C13" s="547">
        <v>0</v>
      </c>
      <c r="D13" s="547">
        <v>0</v>
      </c>
    </row>
    <row r="14" spans="1:4" x14ac:dyDescent="0.25">
      <c r="A14" s="553" t="s">
        <v>98</v>
      </c>
      <c r="B14" s="554"/>
      <c r="C14" s="550">
        <f>SUM(C9:C13)</f>
        <v>718564814.25999987</v>
      </c>
      <c r="D14" s="550">
        <f>SUM(D9:D13)</f>
        <v>6127677717.0699997</v>
      </c>
    </row>
    <row r="16" spans="1:4" x14ac:dyDescent="0.25">
      <c r="A16" s="346" t="s">
        <v>99</v>
      </c>
      <c r="B16" s="346" t="s">
        <v>100</v>
      </c>
      <c r="C16" s="547">
        <v>125167.38</v>
      </c>
      <c r="D16" s="547">
        <v>1519994.83</v>
      </c>
    </row>
    <row r="17" spans="1:4" x14ac:dyDescent="0.25">
      <c r="A17" s="346" t="s">
        <v>101</v>
      </c>
      <c r="B17" s="346" t="s">
        <v>102</v>
      </c>
      <c r="C17" s="547">
        <v>244361.73</v>
      </c>
      <c r="D17" s="547">
        <v>2957977.26</v>
      </c>
    </row>
    <row r="18" spans="1:4" x14ac:dyDescent="0.25">
      <c r="A18" s="346" t="s">
        <v>103</v>
      </c>
      <c r="B18" s="346" t="s">
        <v>104</v>
      </c>
      <c r="C18" s="547">
        <v>157127.32999999999</v>
      </c>
      <c r="D18" s="547">
        <v>1957269.36</v>
      </c>
    </row>
    <row r="19" spans="1:4" x14ac:dyDescent="0.25">
      <c r="A19" s="346" t="s">
        <v>105</v>
      </c>
      <c r="B19" s="346" t="s">
        <v>106</v>
      </c>
      <c r="C19" s="547">
        <v>5972.68</v>
      </c>
      <c r="D19" s="547">
        <v>77964.429999999993</v>
      </c>
    </row>
    <row r="20" spans="1:4" x14ac:dyDescent="0.25">
      <c r="A20" s="553" t="s">
        <v>107</v>
      </c>
      <c r="B20" s="554"/>
      <c r="C20" s="550">
        <f>SUM(C16:C19)</f>
        <v>532629.12</v>
      </c>
      <c r="D20" s="550">
        <f>SUM(D16:D19)</f>
        <v>6513205.8799999999</v>
      </c>
    </row>
    <row r="22" spans="1:4" x14ac:dyDescent="0.25">
      <c r="A22" s="346" t="s">
        <v>108</v>
      </c>
      <c r="B22" s="346" t="s">
        <v>109</v>
      </c>
      <c r="C22" s="547">
        <v>65040.57</v>
      </c>
      <c r="D22" s="547">
        <v>436093.74</v>
      </c>
    </row>
    <row r="23" spans="1:4" x14ac:dyDescent="0.25">
      <c r="A23" s="346" t="s">
        <v>110</v>
      </c>
      <c r="B23" s="346" t="s">
        <v>111</v>
      </c>
      <c r="C23" s="547">
        <v>127280.19</v>
      </c>
      <c r="D23" s="547">
        <v>848926.4</v>
      </c>
    </row>
    <row r="24" spans="1:4" x14ac:dyDescent="0.25">
      <c r="A24" s="346" t="s">
        <v>112</v>
      </c>
      <c r="B24" s="346" t="s">
        <v>113</v>
      </c>
      <c r="C24" s="547">
        <v>41730.42</v>
      </c>
      <c r="D24" s="547">
        <v>371915.11</v>
      </c>
    </row>
    <row r="25" spans="1:4" x14ac:dyDescent="0.25">
      <c r="A25" s="346" t="s">
        <v>114</v>
      </c>
      <c r="B25" s="346" t="s">
        <v>115</v>
      </c>
      <c r="C25" s="547">
        <v>3323.31</v>
      </c>
      <c r="D25" s="547">
        <v>22956.52</v>
      </c>
    </row>
    <row r="26" spans="1:4" x14ac:dyDescent="0.25">
      <c r="A26" s="553" t="s">
        <v>116</v>
      </c>
      <c r="B26" s="554"/>
      <c r="C26" s="550">
        <f>SUM(C22:C25)</f>
        <v>237374.49</v>
      </c>
      <c r="D26" s="550">
        <f>SUM(D22:D25)</f>
        <v>1679891.77</v>
      </c>
    </row>
    <row r="28" spans="1:4" x14ac:dyDescent="0.25">
      <c r="A28" s="346" t="s">
        <v>117</v>
      </c>
      <c r="B28" s="346" t="s">
        <v>118</v>
      </c>
      <c r="C28" s="547">
        <v>275.5</v>
      </c>
      <c r="D28" s="547">
        <v>2771.97</v>
      </c>
    </row>
    <row r="29" spans="1:4" x14ac:dyDescent="0.25">
      <c r="A29" s="346" t="s">
        <v>119</v>
      </c>
      <c r="B29" s="346" t="s">
        <v>120</v>
      </c>
      <c r="C29" s="547">
        <v>539.14</v>
      </c>
      <c r="D29" s="547">
        <v>5392.75</v>
      </c>
    </row>
    <row r="30" spans="1:4" x14ac:dyDescent="0.25">
      <c r="A30" s="346" t="s">
        <v>121</v>
      </c>
      <c r="B30" s="346" t="s">
        <v>122</v>
      </c>
      <c r="C30" s="547">
        <v>176.76</v>
      </c>
      <c r="D30" s="547">
        <v>2613.27</v>
      </c>
    </row>
    <row r="31" spans="1:4" x14ac:dyDescent="0.25">
      <c r="A31" s="346" t="s">
        <v>123</v>
      </c>
      <c r="B31" s="346" t="s">
        <v>124</v>
      </c>
      <c r="C31" s="547">
        <v>14.08</v>
      </c>
      <c r="D31" s="547">
        <v>149.66</v>
      </c>
    </row>
    <row r="32" spans="1:4" x14ac:dyDescent="0.25">
      <c r="A32" s="553" t="s">
        <v>125</v>
      </c>
      <c r="B32" s="554"/>
      <c r="C32" s="550">
        <f>SUM(C28:C31)</f>
        <v>1005.48</v>
      </c>
      <c r="D32" s="550">
        <f>SUM(D28:D31)</f>
        <v>10927.65</v>
      </c>
    </row>
    <row r="34" spans="1:4" x14ac:dyDescent="0.25">
      <c r="A34" s="346" t="s">
        <v>317</v>
      </c>
      <c r="B34" s="346" t="s">
        <v>318</v>
      </c>
      <c r="C34" s="547">
        <v>0</v>
      </c>
      <c r="D34" s="547">
        <v>0</v>
      </c>
    </row>
    <row r="35" spans="1:4" x14ac:dyDescent="0.25">
      <c r="A35" s="346" t="s">
        <v>319</v>
      </c>
      <c r="B35" s="346" t="s">
        <v>320</v>
      </c>
      <c r="C35" s="547">
        <v>0</v>
      </c>
      <c r="D35" s="547">
        <v>0</v>
      </c>
    </row>
    <row r="36" spans="1:4" x14ac:dyDescent="0.25">
      <c r="A36" s="346" t="s">
        <v>321</v>
      </c>
      <c r="B36" s="346" t="s">
        <v>322</v>
      </c>
      <c r="C36" s="547">
        <v>0</v>
      </c>
      <c r="D36" s="547">
        <v>0</v>
      </c>
    </row>
    <row r="37" spans="1:4" x14ac:dyDescent="0.25">
      <c r="A37" s="346" t="s">
        <v>323</v>
      </c>
      <c r="B37" s="346" t="s">
        <v>324</v>
      </c>
      <c r="C37" s="547">
        <v>0</v>
      </c>
      <c r="D37" s="547">
        <v>0</v>
      </c>
    </row>
    <row r="38" spans="1:4" x14ac:dyDescent="0.25">
      <c r="A38" s="553" t="s">
        <v>325</v>
      </c>
      <c r="B38" s="554"/>
      <c r="C38" s="550">
        <f>SUM(C34:C37)</f>
        <v>0</v>
      </c>
      <c r="D38" s="550">
        <f>SUM(D34:D37)</f>
        <v>0</v>
      </c>
    </row>
    <row r="40" spans="1:4" x14ac:dyDescent="0.25">
      <c r="A40" s="346" t="s">
        <v>126</v>
      </c>
      <c r="B40" s="346" t="s">
        <v>347</v>
      </c>
      <c r="C40" s="547">
        <v>3565.09</v>
      </c>
      <c r="D40" s="547">
        <v>-1903844.62</v>
      </c>
    </row>
    <row r="41" spans="1:4" x14ac:dyDescent="0.25">
      <c r="A41" s="346" t="s">
        <v>128</v>
      </c>
      <c r="B41" s="346" t="s">
        <v>348</v>
      </c>
      <c r="C41" s="547">
        <v>6976.63</v>
      </c>
      <c r="D41" s="547">
        <v>-16658786.09</v>
      </c>
    </row>
    <row r="42" spans="1:4" x14ac:dyDescent="0.25">
      <c r="A42" s="346" t="s">
        <v>130</v>
      </c>
      <c r="B42" s="346" t="s">
        <v>349</v>
      </c>
      <c r="C42" s="547">
        <v>2287.39</v>
      </c>
      <c r="D42" s="547">
        <v>-1920314.59</v>
      </c>
    </row>
    <row r="43" spans="1:4" x14ac:dyDescent="0.25">
      <c r="A43" s="346" t="s">
        <v>132</v>
      </c>
      <c r="B43" s="346" t="s">
        <v>350</v>
      </c>
      <c r="C43" s="547">
        <v>182.16</v>
      </c>
      <c r="D43" s="547">
        <v>-104610.27</v>
      </c>
    </row>
    <row r="44" spans="1:4" x14ac:dyDescent="0.25">
      <c r="A44" s="553" t="s">
        <v>134</v>
      </c>
      <c r="B44" s="554"/>
      <c r="C44" s="550">
        <f>SUM(C40:C43)</f>
        <v>13011.27</v>
      </c>
      <c r="D44" s="550">
        <f>SUM(D40:D43)</f>
        <v>-20587555.57</v>
      </c>
    </row>
    <row r="46" spans="1:4" x14ac:dyDescent="0.25">
      <c r="A46" s="346" t="s">
        <v>326</v>
      </c>
      <c r="B46" s="346" t="s">
        <v>327</v>
      </c>
      <c r="C46" s="547">
        <v>0</v>
      </c>
      <c r="D46" s="547">
        <v>0</v>
      </c>
    </row>
    <row r="47" spans="1:4" x14ac:dyDescent="0.25">
      <c r="A47" s="346" t="s">
        <v>328</v>
      </c>
      <c r="B47" s="346" t="s">
        <v>329</v>
      </c>
      <c r="C47" s="547">
        <v>3635696</v>
      </c>
      <c r="D47" s="547">
        <v>28400054</v>
      </c>
    </row>
    <row r="48" spans="1:4" x14ac:dyDescent="0.25">
      <c r="A48" s="346" t="s">
        <v>330</v>
      </c>
      <c r="B48" s="346" t="s">
        <v>331</v>
      </c>
      <c r="C48" s="547">
        <v>4966303</v>
      </c>
      <c r="D48" s="547">
        <v>110815244</v>
      </c>
    </row>
    <row r="49" spans="1:4" x14ac:dyDescent="0.25">
      <c r="A49" s="346" t="s">
        <v>332</v>
      </c>
      <c r="B49" s="346" t="s">
        <v>333</v>
      </c>
      <c r="C49" s="547">
        <v>0</v>
      </c>
      <c r="D49" s="547">
        <v>0</v>
      </c>
    </row>
    <row r="50" spans="1:4" x14ac:dyDescent="0.25">
      <c r="A50" s="553" t="s">
        <v>334</v>
      </c>
      <c r="B50" s="554"/>
      <c r="C50" s="550">
        <f>SUM(C46:C49)</f>
        <v>8601999</v>
      </c>
      <c r="D50" s="550">
        <f>SUM(D46:D49)</f>
        <v>139215298</v>
      </c>
    </row>
    <row r="52" spans="1:4" x14ac:dyDescent="0.25">
      <c r="A52" s="346" t="s">
        <v>135</v>
      </c>
      <c r="B52" s="346" t="s">
        <v>385</v>
      </c>
      <c r="C52" s="547">
        <v>-165814016.02000001</v>
      </c>
      <c r="D52" s="547">
        <v>-1356960893.8499999</v>
      </c>
    </row>
    <row r="53" spans="1:4" x14ac:dyDescent="0.25">
      <c r="A53" s="346" t="s">
        <v>137</v>
      </c>
      <c r="B53" s="346" t="s">
        <v>386</v>
      </c>
      <c r="C53" s="547">
        <v>-299639736.61000001</v>
      </c>
      <c r="D53" s="547">
        <v>-2657351118.52</v>
      </c>
    </row>
    <row r="54" spans="1:4" x14ac:dyDescent="0.25">
      <c r="A54" s="346" t="s">
        <v>139</v>
      </c>
      <c r="B54" s="346" t="s">
        <v>387</v>
      </c>
      <c r="C54" s="547">
        <v>-145701357.40000001</v>
      </c>
      <c r="D54" s="547">
        <v>-1376519873.4000001</v>
      </c>
    </row>
    <row r="55" spans="1:4" x14ac:dyDescent="0.25">
      <c r="A55" s="346" t="s">
        <v>141</v>
      </c>
      <c r="B55" s="346" t="s">
        <v>388</v>
      </c>
      <c r="C55" s="547">
        <v>-14383957.51</v>
      </c>
      <c r="D55" s="547">
        <v>-84103922.829999998</v>
      </c>
    </row>
    <row r="56" spans="1:4" x14ac:dyDescent="0.25">
      <c r="A56" s="553" t="s">
        <v>143</v>
      </c>
      <c r="B56" s="554"/>
      <c r="C56" s="550">
        <f>SUM(C52:C55)</f>
        <v>-625539067.53999996</v>
      </c>
      <c r="D56" s="550">
        <f>SUM(D52:D55)</f>
        <v>-5474935808.6000004</v>
      </c>
    </row>
    <row r="58" spans="1:4" x14ac:dyDescent="0.25">
      <c r="A58" s="346" t="s">
        <v>351</v>
      </c>
      <c r="B58" s="346" t="s">
        <v>352</v>
      </c>
      <c r="C58" s="547">
        <v>525568.28</v>
      </c>
      <c r="D58" s="547">
        <v>14735166.640000001</v>
      </c>
    </row>
    <row r="59" spans="1:4" x14ac:dyDescent="0.25">
      <c r="A59" s="346" t="s">
        <v>353</v>
      </c>
      <c r="B59" s="346" t="s">
        <v>354</v>
      </c>
      <c r="C59" s="547">
        <v>0</v>
      </c>
      <c r="D59" s="547">
        <v>0</v>
      </c>
    </row>
    <row r="60" spans="1:4" x14ac:dyDescent="0.25">
      <c r="C60" s="547">
        <f>SUM(C58:C59)</f>
        <v>525568.28</v>
      </c>
      <c r="D60" s="547">
        <f>SUM(D58:D59)</f>
        <v>14735166.640000001</v>
      </c>
    </row>
    <row r="62" spans="1:4" x14ac:dyDescent="0.25">
      <c r="A62" s="553" t="s">
        <v>144</v>
      </c>
      <c r="B62" s="553" t="s">
        <v>39</v>
      </c>
      <c r="C62" s="550">
        <v>-6589816.3300000001</v>
      </c>
      <c r="D62" s="550">
        <v>-6589816.3300000001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547">
        <v>0</v>
      </c>
      <c r="D66" s="547">
        <v>0</v>
      </c>
    </row>
    <row r="67" spans="1:4" x14ac:dyDescent="0.25">
      <c r="A67" s="346" t="s">
        <v>147</v>
      </c>
      <c r="B67" s="346" t="s">
        <v>81</v>
      </c>
      <c r="C67" s="547">
        <v>0</v>
      </c>
      <c r="D67" s="547">
        <v>0</v>
      </c>
    </row>
    <row r="68" spans="1:4" x14ac:dyDescent="0.25">
      <c r="A68" s="346" t="s">
        <v>148</v>
      </c>
      <c r="B68" s="346" t="s">
        <v>82</v>
      </c>
      <c r="C68" s="547">
        <v>0</v>
      </c>
      <c r="D68" s="547">
        <v>0</v>
      </c>
    </row>
    <row r="69" spans="1:4" x14ac:dyDescent="0.25">
      <c r="A69" s="346" t="s">
        <v>149</v>
      </c>
      <c r="B69" s="346" t="s">
        <v>83</v>
      </c>
      <c r="C69" s="547">
        <v>0</v>
      </c>
      <c r="D69" s="547">
        <v>0</v>
      </c>
    </row>
    <row r="70" spans="1:4" x14ac:dyDescent="0.25">
      <c r="A70" s="553" t="s">
        <v>150</v>
      </c>
      <c r="B70" s="554"/>
      <c r="C70" s="550">
        <f>SUM(C66:C69)</f>
        <v>0</v>
      </c>
      <c r="D70" s="550">
        <f>SUM(D66:D69)</f>
        <v>0</v>
      </c>
    </row>
    <row r="72" spans="1:4" x14ac:dyDescent="0.25">
      <c r="A72" s="346" t="s">
        <v>151</v>
      </c>
      <c r="B72" s="346" t="s">
        <v>40</v>
      </c>
      <c r="C72" s="547">
        <v>-5395677.7800000003</v>
      </c>
      <c r="D72" s="547">
        <v>-46269931.859999999</v>
      </c>
    </row>
    <row r="73" spans="1:4" x14ac:dyDescent="0.25">
      <c r="A73" s="346" t="s">
        <v>152</v>
      </c>
      <c r="B73" s="346" t="s">
        <v>41</v>
      </c>
      <c r="C73" s="547">
        <v>-1628653.93</v>
      </c>
      <c r="D73" s="547">
        <v>-14630495.77</v>
      </c>
    </row>
    <row r="74" spans="1:4" x14ac:dyDescent="0.25">
      <c r="A74" s="346" t="s">
        <v>153</v>
      </c>
      <c r="B74" s="346" t="s">
        <v>42</v>
      </c>
      <c r="C74" s="547">
        <v>-806701.03</v>
      </c>
      <c r="D74" s="547">
        <v>-6628256.1699999999</v>
      </c>
    </row>
    <row r="75" spans="1:4" x14ac:dyDescent="0.25">
      <c r="A75" s="346" t="s">
        <v>154</v>
      </c>
      <c r="B75" s="346" t="s">
        <v>43</v>
      </c>
      <c r="C75" s="547">
        <v>-1489983.07</v>
      </c>
      <c r="D75" s="547">
        <v>-9323624.5999999996</v>
      </c>
    </row>
    <row r="76" spans="1:4" x14ac:dyDescent="0.25">
      <c r="A76" s="553" t="s">
        <v>155</v>
      </c>
      <c r="B76" s="554"/>
      <c r="C76" s="550">
        <f>SUM(C72:C75)</f>
        <v>-9321015.8100000005</v>
      </c>
      <c r="D76" s="550">
        <f>SUM(D72:D75)</f>
        <v>-76852308.399999991</v>
      </c>
    </row>
    <row r="78" spans="1:4" x14ac:dyDescent="0.25">
      <c r="A78" s="346" t="s">
        <v>156</v>
      </c>
      <c r="B78" s="346" t="s">
        <v>157</v>
      </c>
      <c r="C78" s="547">
        <v>1349909.85</v>
      </c>
      <c r="D78" s="547">
        <v>10621155.33</v>
      </c>
    </row>
    <row r="79" spans="1:4" x14ac:dyDescent="0.25">
      <c r="A79" s="346" t="s">
        <v>158</v>
      </c>
      <c r="B79" s="346" t="s">
        <v>159</v>
      </c>
      <c r="C79" s="547">
        <v>304991.37</v>
      </c>
      <c r="D79" s="547">
        <v>2852915.09</v>
      </c>
    </row>
    <row r="80" spans="1:4" x14ac:dyDescent="0.25">
      <c r="A80" s="346" t="s">
        <v>160</v>
      </c>
      <c r="B80" s="346" t="s">
        <v>161</v>
      </c>
      <c r="C80" s="547">
        <v>50492.07</v>
      </c>
      <c r="D80" s="547">
        <v>477810.9</v>
      </c>
    </row>
    <row r="81" spans="1:4" x14ac:dyDescent="0.25">
      <c r="A81" s="346" t="s">
        <v>162</v>
      </c>
      <c r="B81" s="346" t="s">
        <v>163</v>
      </c>
      <c r="C81" s="547">
        <v>97578.07</v>
      </c>
      <c r="D81" s="547">
        <v>1074736.43</v>
      </c>
    </row>
    <row r="82" spans="1:4" x14ac:dyDescent="0.25">
      <c r="A82" s="553" t="s">
        <v>164</v>
      </c>
      <c r="B82" s="554"/>
      <c r="C82" s="550">
        <f>SUM(C78:C81)</f>
        <v>1802971.3600000003</v>
      </c>
      <c r="D82" s="550">
        <f>SUM(D78:D81)</f>
        <v>15026617.75</v>
      </c>
    </row>
    <row r="84" spans="1:4" x14ac:dyDescent="0.25">
      <c r="A84" s="553" t="s">
        <v>31</v>
      </c>
      <c r="B84" s="554"/>
      <c r="C84" s="550">
        <f>C14+C20+C26+C32+C44+C56+C62+C70+C76+C82+C50+C38+C60</f>
        <v>88829473.579999924</v>
      </c>
      <c r="D84" s="550">
        <f>D14+D20+D26+D32+D44+D56+D62+D70+D76+D82+D50+D38+D60</f>
        <v>725893335.85999978</v>
      </c>
    </row>
  </sheetData>
  <pageMargins left="0.7" right="0.7" top="0.75" bottom="0.75" header="0.3" footer="0.3"/>
  <pageSetup scale="6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5" workbookViewId="0">
      <selection activeCell="F83" sqref="F83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32" t="s">
        <v>53</v>
      </c>
      <c r="C1" s="533"/>
      <c r="D1" s="533"/>
    </row>
    <row r="2" spans="1:4" x14ac:dyDescent="0.25">
      <c r="B2" s="534" t="s">
        <v>86</v>
      </c>
      <c r="C2" s="535"/>
      <c r="D2" s="535"/>
    </row>
    <row r="3" spans="1:4" x14ac:dyDescent="0.25">
      <c r="B3" s="532" t="s">
        <v>382</v>
      </c>
      <c r="C3" s="533"/>
      <c r="D3" s="533"/>
    </row>
    <row r="4" spans="1:4" x14ac:dyDescent="0.25">
      <c r="B4" s="532" t="s">
        <v>376</v>
      </c>
      <c r="C4" s="533"/>
      <c r="D4" s="533"/>
    </row>
    <row r="5" spans="1:4" x14ac:dyDescent="0.25">
      <c r="B5" s="341" t="s">
        <v>383</v>
      </c>
      <c r="C5" s="342"/>
      <c r="D5" s="342"/>
    </row>
    <row r="7" spans="1:4" x14ac:dyDescent="0.25">
      <c r="B7" s="344" t="s">
        <v>30</v>
      </c>
      <c r="C7" s="345" t="s">
        <v>182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198978616.69</v>
      </c>
      <c r="D9" s="347">
        <v>1370162078.3699999</v>
      </c>
    </row>
    <row r="10" spans="1:4" x14ac:dyDescent="0.25">
      <c r="A10" s="346" t="s">
        <v>94</v>
      </c>
      <c r="B10" s="346" t="s">
        <v>35</v>
      </c>
      <c r="C10" s="343">
        <v>389502835.48000002</v>
      </c>
      <c r="D10" s="343">
        <v>2665185274.5999999</v>
      </c>
    </row>
    <row r="11" spans="1:4" x14ac:dyDescent="0.25">
      <c r="A11" s="346" t="s">
        <v>95</v>
      </c>
      <c r="B11" s="346" t="s">
        <v>36</v>
      </c>
      <c r="C11" s="343">
        <v>127784959.48</v>
      </c>
      <c r="D11" s="343">
        <v>1299667881.78</v>
      </c>
    </row>
    <row r="12" spans="1:4" x14ac:dyDescent="0.25">
      <c r="A12" s="346" t="s">
        <v>96</v>
      </c>
      <c r="B12" s="346" t="s">
        <v>37</v>
      </c>
      <c r="C12" s="343">
        <v>10199668.15</v>
      </c>
      <c r="D12" s="343">
        <v>74097668.060000002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348" t="s">
        <v>98</v>
      </c>
      <c r="B14" s="349"/>
      <c r="C14" s="350">
        <f>SUM(C9:C13)</f>
        <v>726466079.80000007</v>
      </c>
      <c r="D14" s="350">
        <f>SUM(D9:D13)</f>
        <v>5409112902.8100004</v>
      </c>
    </row>
    <row r="16" spans="1:4" x14ac:dyDescent="0.25">
      <c r="A16" s="346" t="s">
        <v>99</v>
      </c>
      <c r="B16" s="346" t="s">
        <v>100</v>
      </c>
      <c r="C16" s="343">
        <v>161095.44</v>
      </c>
      <c r="D16" s="343">
        <v>1394827.45</v>
      </c>
    </row>
    <row r="17" spans="1:4" x14ac:dyDescent="0.25">
      <c r="A17" s="346" t="s">
        <v>101</v>
      </c>
      <c r="B17" s="346" t="s">
        <v>102</v>
      </c>
      <c r="C17" s="343">
        <v>316219.08</v>
      </c>
      <c r="D17" s="343">
        <v>2713615.53</v>
      </c>
    </row>
    <row r="18" spans="1:4" x14ac:dyDescent="0.25">
      <c r="A18" s="346" t="s">
        <v>103</v>
      </c>
      <c r="B18" s="346" t="s">
        <v>104</v>
      </c>
      <c r="C18" s="343">
        <v>156177.39000000001</v>
      </c>
      <c r="D18" s="343">
        <v>1800142.03</v>
      </c>
    </row>
    <row r="19" spans="1:4" x14ac:dyDescent="0.25">
      <c r="A19" s="346" t="s">
        <v>105</v>
      </c>
      <c r="B19" s="346" t="s">
        <v>106</v>
      </c>
      <c r="C19" s="343">
        <v>7778.21</v>
      </c>
      <c r="D19" s="343">
        <v>71991.75</v>
      </c>
    </row>
    <row r="20" spans="1:4" x14ac:dyDescent="0.25">
      <c r="A20" s="348" t="s">
        <v>107</v>
      </c>
      <c r="B20" s="349"/>
      <c r="C20" s="350">
        <f>SUM(C16:C19)</f>
        <v>641270.12</v>
      </c>
      <c r="D20" s="350">
        <f>SUM(D16:D19)</f>
        <v>5980576.7599999998</v>
      </c>
    </row>
    <row r="22" spans="1:4" x14ac:dyDescent="0.25">
      <c r="A22" s="346" t="s">
        <v>108</v>
      </c>
      <c r="B22" s="346" t="s">
        <v>109</v>
      </c>
      <c r="C22" s="343">
        <v>68770.63</v>
      </c>
      <c r="D22" s="343">
        <v>371053.17</v>
      </c>
    </row>
    <row r="23" spans="1:4" x14ac:dyDescent="0.25">
      <c r="A23" s="346" t="s">
        <v>110</v>
      </c>
      <c r="B23" s="346" t="s">
        <v>111</v>
      </c>
      <c r="C23" s="343">
        <v>134579.68</v>
      </c>
      <c r="D23" s="343">
        <v>721646.21</v>
      </c>
    </row>
    <row r="24" spans="1:4" x14ac:dyDescent="0.25">
      <c r="A24" s="346" t="s">
        <v>112</v>
      </c>
      <c r="B24" s="346" t="s">
        <v>113</v>
      </c>
      <c r="C24" s="343">
        <v>44123.62</v>
      </c>
      <c r="D24" s="343">
        <v>330184.69</v>
      </c>
    </row>
    <row r="25" spans="1:4" x14ac:dyDescent="0.25">
      <c r="A25" s="346" t="s">
        <v>114</v>
      </c>
      <c r="B25" s="346" t="s">
        <v>115</v>
      </c>
      <c r="C25" s="343">
        <v>3513.78</v>
      </c>
      <c r="D25" s="343">
        <v>19633.21</v>
      </c>
    </row>
    <row r="26" spans="1:4" x14ac:dyDescent="0.25">
      <c r="A26" s="348" t="s">
        <v>116</v>
      </c>
      <c r="B26" s="349"/>
      <c r="C26" s="350">
        <f>SUM(C22:C25)</f>
        <v>250987.71</v>
      </c>
      <c r="D26" s="350">
        <f>SUM(D22:D25)</f>
        <v>1442517.2799999998</v>
      </c>
    </row>
    <row r="28" spans="1:4" x14ac:dyDescent="0.25">
      <c r="A28" s="346" t="s">
        <v>117</v>
      </c>
      <c r="B28" s="346" t="s">
        <v>118</v>
      </c>
      <c r="C28" s="343">
        <v>274</v>
      </c>
      <c r="D28" s="343">
        <v>2496.4699999999998</v>
      </c>
    </row>
    <row r="29" spans="1:4" x14ac:dyDescent="0.25">
      <c r="A29" s="346" t="s">
        <v>119</v>
      </c>
      <c r="B29" s="346" t="s">
        <v>120</v>
      </c>
      <c r="C29" s="343">
        <v>536.20000000000005</v>
      </c>
      <c r="D29" s="343">
        <v>4853.6099999999997</v>
      </c>
    </row>
    <row r="30" spans="1:4" x14ac:dyDescent="0.25">
      <c r="A30" s="346" t="s">
        <v>121</v>
      </c>
      <c r="B30" s="346" t="s">
        <v>122</v>
      </c>
      <c r="C30" s="343">
        <v>175.8</v>
      </c>
      <c r="D30" s="343">
        <v>2436.5100000000002</v>
      </c>
    </row>
    <row r="31" spans="1:4" x14ac:dyDescent="0.25">
      <c r="A31" s="346" t="s">
        <v>123</v>
      </c>
      <c r="B31" s="346" t="s">
        <v>124</v>
      </c>
      <c r="C31" s="343">
        <v>14</v>
      </c>
      <c r="D31" s="343">
        <v>135.58000000000001</v>
      </c>
    </row>
    <row r="32" spans="1:4" x14ac:dyDescent="0.25">
      <c r="A32" s="348" t="s">
        <v>125</v>
      </c>
      <c r="B32" s="349"/>
      <c r="C32" s="350">
        <f>SUM(C28:C31)</f>
        <v>1000</v>
      </c>
      <c r="D32" s="350">
        <f>SUM(D28:D31)</f>
        <v>9922.17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348" t="s">
        <v>325</v>
      </c>
      <c r="B38" s="349"/>
      <c r="C38" s="350">
        <f>SUM(C34:C37)</f>
        <v>0</v>
      </c>
      <c r="D38" s="350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419985.83</v>
      </c>
      <c r="D40" s="343">
        <v>-1907409.71</v>
      </c>
    </row>
    <row r="41" spans="1:4" x14ac:dyDescent="0.25">
      <c r="A41" s="346" t="s">
        <v>128</v>
      </c>
      <c r="B41" s="346" t="s">
        <v>348</v>
      </c>
      <c r="C41" s="343">
        <v>-2007873.4</v>
      </c>
      <c r="D41" s="343">
        <v>-16665762.720000001</v>
      </c>
    </row>
    <row r="42" spans="1:4" x14ac:dyDescent="0.25">
      <c r="A42" s="346" t="s">
        <v>130</v>
      </c>
      <c r="B42" s="346" t="s">
        <v>349</v>
      </c>
      <c r="C42" s="343">
        <v>360149.58</v>
      </c>
      <c r="D42" s="343">
        <v>-1922601.98</v>
      </c>
    </row>
    <row r="43" spans="1:4" x14ac:dyDescent="0.25">
      <c r="A43" s="346" t="s">
        <v>132</v>
      </c>
      <c r="B43" s="346" t="s">
        <v>350</v>
      </c>
      <c r="C43" s="343">
        <v>21670.43</v>
      </c>
      <c r="D43" s="343">
        <v>-104792.43</v>
      </c>
    </row>
    <row r="44" spans="1:4" x14ac:dyDescent="0.25">
      <c r="A44" s="348" t="s">
        <v>134</v>
      </c>
      <c r="B44" s="349"/>
      <c r="C44" s="350">
        <f>SUM(C40:C43)</f>
        <v>-1206067.5599999998</v>
      </c>
      <c r="D44" s="350">
        <f>SUM(D40:D43)</f>
        <v>-20600566.84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-1596079</v>
      </c>
      <c r="D47" s="343">
        <v>24764358</v>
      </c>
    </row>
    <row r="48" spans="1:4" x14ac:dyDescent="0.25">
      <c r="A48" s="346" t="s">
        <v>330</v>
      </c>
      <c r="B48" s="346" t="s">
        <v>331</v>
      </c>
      <c r="C48" s="343">
        <v>-7092297</v>
      </c>
      <c r="D48" s="343">
        <v>105848941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348" t="s">
        <v>334</v>
      </c>
      <c r="B50" s="349"/>
      <c r="C50" s="350">
        <f>SUM(C46:C49)</f>
        <v>-8688376</v>
      </c>
      <c r="D50" s="350">
        <f>SUM(D46:D49)</f>
        <v>130613299</v>
      </c>
    </row>
    <row r="52" spans="1:4" x14ac:dyDescent="0.25">
      <c r="A52" s="346" t="s">
        <v>135</v>
      </c>
      <c r="B52" s="346" t="s">
        <v>385</v>
      </c>
      <c r="C52" s="343">
        <v>-172590743.53999999</v>
      </c>
      <c r="D52" s="343">
        <v>-1191146877.8299999</v>
      </c>
    </row>
    <row r="53" spans="1:4" x14ac:dyDescent="0.25">
      <c r="A53" s="346" t="s">
        <v>137</v>
      </c>
      <c r="B53" s="346" t="s">
        <v>386</v>
      </c>
      <c r="C53" s="343">
        <v>-321083843.75</v>
      </c>
      <c r="D53" s="343">
        <v>-2357711381.9099998</v>
      </c>
    </row>
    <row r="54" spans="1:4" x14ac:dyDescent="0.25">
      <c r="A54" s="346" t="s">
        <v>139</v>
      </c>
      <c r="B54" s="346" t="s">
        <v>387</v>
      </c>
      <c r="C54" s="343">
        <v>-150426476.09</v>
      </c>
      <c r="D54" s="343">
        <v>-1230818516</v>
      </c>
    </row>
    <row r="55" spans="1:4" x14ac:dyDescent="0.25">
      <c r="A55" s="346" t="s">
        <v>141</v>
      </c>
      <c r="B55" s="346" t="s">
        <v>388</v>
      </c>
      <c r="C55" s="343">
        <v>-16612018.449999999</v>
      </c>
      <c r="D55" s="343">
        <v>-69719965.319999993</v>
      </c>
    </row>
    <row r="56" spans="1:4" x14ac:dyDescent="0.25">
      <c r="A56" s="348" t="s">
        <v>143</v>
      </c>
      <c r="B56" s="349"/>
      <c r="C56" s="350">
        <f>SUM(C52:C55)</f>
        <v>-660713081.83000004</v>
      </c>
      <c r="D56" s="350">
        <f>SUM(D52:D55)</f>
        <v>-4849396741.0599995</v>
      </c>
    </row>
    <row r="58" spans="1:4" x14ac:dyDescent="0.25">
      <c r="A58" s="346" t="s">
        <v>351</v>
      </c>
      <c r="B58" s="346" t="s">
        <v>352</v>
      </c>
      <c r="C58" s="343">
        <v>306879.14</v>
      </c>
      <c r="D58" s="343">
        <v>14209598.359999999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306879.14</v>
      </c>
      <c r="D60" s="343">
        <f>SUM(D58:D59)</f>
        <v>14209598.359999999</v>
      </c>
    </row>
    <row r="62" spans="1:4" x14ac:dyDescent="0.25">
      <c r="A62" s="348" t="s">
        <v>144</v>
      </c>
      <c r="B62" s="348" t="s">
        <v>39</v>
      </c>
      <c r="C62" s="350">
        <v>0</v>
      </c>
      <c r="D62" s="350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348" t="s">
        <v>150</v>
      </c>
      <c r="B70" s="349"/>
      <c r="C70" s="350">
        <f>SUM(C66:C69)</f>
        <v>0</v>
      </c>
      <c r="D70" s="350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-6056559.6600000001</v>
      </c>
      <c r="D72" s="343">
        <v>-40874254.079999998</v>
      </c>
    </row>
    <row r="73" spans="1:4" x14ac:dyDescent="0.25">
      <c r="A73" s="346" t="s">
        <v>152</v>
      </c>
      <c r="B73" s="346" t="s">
        <v>41</v>
      </c>
      <c r="C73" s="343">
        <v>-1914743.51</v>
      </c>
      <c r="D73" s="343">
        <v>-13001841.84</v>
      </c>
    </row>
    <row r="74" spans="1:4" x14ac:dyDescent="0.25">
      <c r="A74" s="346" t="s">
        <v>153</v>
      </c>
      <c r="B74" s="346" t="s">
        <v>42</v>
      </c>
      <c r="C74" s="343">
        <v>-780145.93</v>
      </c>
      <c r="D74" s="343">
        <v>-5821555.1399999997</v>
      </c>
    </row>
    <row r="75" spans="1:4" x14ac:dyDescent="0.25">
      <c r="A75" s="346" t="s">
        <v>154</v>
      </c>
      <c r="B75" s="346" t="s">
        <v>43</v>
      </c>
      <c r="C75" s="343">
        <v>-1150739.03</v>
      </c>
      <c r="D75" s="343">
        <v>-7833641.5300000003</v>
      </c>
    </row>
    <row r="76" spans="1:4" x14ac:dyDescent="0.25">
      <c r="A76" s="348" t="s">
        <v>155</v>
      </c>
      <c r="B76" s="349"/>
      <c r="C76" s="350">
        <f>SUM(C72:C75)</f>
        <v>-9902188.129999999</v>
      </c>
      <c r="D76" s="350">
        <f>SUM(D72:D75)</f>
        <v>-67531292.590000004</v>
      </c>
    </row>
    <row r="78" spans="1:4" x14ac:dyDescent="0.25">
      <c r="A78" s="346" t="s">
        <v>156</v>
      </c>
      <c r="B78" s="346" t="s">
        <v>157</v>
      </c>
      <c r="C78" s="343">
        <v>1277763.02</v>
      </c>
      <c r="D78" s="343">
        <v>9271245.4800000004</v>
      </c>
    </row>
    <row r="79" spans="1:4" x14ac:dyDescent="0.25">
      <c r="A79" s="346" t="s">
        <v>158</v>
      </c>
      <c r="B79" s="346" t="s">
        <v>159</v>
      </c>
      <c r="C79" s="343">
        <v>288402.82</v>
      </c>
      <c r="D79" s="343">
        <v>2547923.7200000002</v>
      </c>
    </row>
    <row r="80" spans="1:4" x14ac:dyDescent="0.25">
      <c r="A80" s="346" t="s">
        <v>160</v>
      </c>
      <c r="B80" s="346" t="s">
        <v>161</v>
      </c>
      <c r="C80" s="343">
        <v>48714.7</v>
      </c>
      <c r="D80" s="343">
        <v>427318.83</v>
      </c>
    </row>
    <row r="81" spans="1:4" x14ac:dyDescent="0.25">
      <c r="A81" s="346" t="s">
        <v>162</v>
      </c>
      <c r="B81" s="346" t="s">
        <v>163</v>
      </c>
      <c r="C81" s="343">
        <v>92367.92</v>
      </c>
      <c r="D81" s="343">
        <v>977158.36</v>
      </c>
    </row>
    <row r="82" spans="1:4" x14ac:dyDescent="0.25">
      <c r="A82" s="348" t="s">
        <v>164</v>
      </c>
      <c r="B82" s="349"/>
      <c r="C82" s="350">
        <f>SUM(C78:C81)</f>
        <v>1707248.46</v>
      </c>
      <c r="D82" s="350">
        <f>SUM(D78:D81)</f>
        <v>13223646.390000001</v>
      </c>
    </row>
    <row r="84" spans="1:4" x14ac:dyDescent="0.25">
      <c r="A84" s="348" t="s">
        <v>31</v>
      </c>
      <c r="B84" s="349"/>
      <c r="C84" s="350">
        <f>C14+C20+C26+C32+C44+C56+C62+C70+C76+C82+C50+C38+C60</f>
        <v>48863751.710000135</v>
      </c>
      <c r="D84" s="350">
        <f>D14+D20+D26+D32+D44+D56+D62+D70+D76+D82+D50+D38+D60</f>
        <v>637063862.28000081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workbookViewId="0">
      <pane ySplit="8" topLeftCell="A9" activePane="bottomLeft" state="frozenSplit"/>
      <selection pane="bottomLeft" activeCell="C50" sqref="C50"/>
    </sheetView>
  </sheetViews>
  <sheetFormatPr defaultColWidth="9.109375" defaultRowHeight="13.2" x14ac:dyDescent="0.25"/>
  <cols>
    <col min="1" max="1" width="30.6640625" style="367" customWidth="1"/>
    <col min="2" max="2" width="33.6640625" style="367" customWidth="1"/>
    <col min="3" max="4" width="22.6640625" style="343" customWidth="1"/>
    <col min="5" max="16384" width="9.109375" style="367"/>
  </cols>
  <sheetData>
    <row r="1" spans="1:4" x14ac:dyDescent="0.25">
      <c r="B1" s="366" t="s">
        <v>53</v>
      </c>
      <c r="C1" s="338"/>
      <c r="D1" s="338"/>
    </row>
    <row r="2" spans="1:4" x14ac:dyDescent="0.25">
      <c r="B2" s="368" t="s">
        <v>86</v>
      </c>
      <c r="C2" s="340"/>
      <c r="D2" s="340"/>
    </row>
    <row r="3" spans="1:4" x14ac:dyDescent="0.25">
      <c r="B3" s="366" t="s">
        <v>379</v>
      </c>
      <c r="C3" s="338"/>
      <c r="D3" s="338"/>
    </row>
    <row r="4" spans="1:4" x14ac:dyDescent="0.25">
      <c r="B4" s="366" t="s">
        <v>376</v>
      </c>
      <c r="C4" s="338"/>
      <c r="D4" s="338"/>
    </row>
    <row r="5" spans="1:4" x14ac:dyDescent="0.25">
      <c r="B5" s="369" t="s">
        <v>381</v>
      </c>
      <c r="C5" s="342"/>
      <c r="D5" s="342"/>
    </row>
    <row r="7" spans="1:4" x14ac:dyDescent="0.25">
      <c r="B7" s="370" t="s">
        <v>30</v>
      </c>
      <c r="C7" s="345" t="s">
        <v>177</v>
      </c>
      <c r="D7" s="345" t="s">
        <v>92</v>
      </c>
    </row>
    <row r="9" spans="1:4" x14ac:dyDescent="0.25">
      <c r="A9" s="371" t="s">
        <v>93</v>
      </c>
      <c r="B9" s="371" t="s">
        <v>34</v>
      </c>
      <c r="C9" s="347">
        <v>197607087.75999999</v>
      </c>
      <c r="D9" s="347">
        <v>1171183461.6800001</v>
      </c>
    </row>
    <row r="10" spans="1:4" x14ac:dyDescent="0.25">
      <c r="A10" s="371" t="s">
        <v>94</v>
      </c>
      <c r="B10" s="371" t="s">
        <v>35</v>
      </c>
      <c r="C10" s="343">
        <v>383725297.42000002</v>
      </c>
      <c r="D10" s="343">
        <v>2275682439.1199999</v>
      </c>
    </row>
    <row r="11" spans="1:4" x14ac:dyDescent="0.25">
      <c r="A11" s="371" t="s">
        <v>95</v>
      </c>
      <c r="B11" s="371" t="s">
        <v>36</v>
      </c>
      <c r="C11" s="343">
        <v>169481908.44999999</v>
      </c>
      <c r="D11" s="343">
        <v>1171882922.3</v>
      </c>
    </row>
    <row r="12" spans="1:4" x14ac:dyDescent="0.25">
      <c r="A12" s="371" t="s">
        <v>96</v>
      </c>
      <c r="B12" s="371" t="s">
        <v>37</v>
      </c>
      <c r="C12" s="343">
        <v>10179374.390000001</v>
      </c>
      <c r="D12" s="343">
        <v>63897999.909999996</v>
      </c>
    </row>
    <row r="13" spans="1:4" x14ac:dyDescent="0.25">
      <c r="A13" s="371" t="s">
        <v>97</v>
      </c>
      <c r="B13" s="371" t="s">
        <v>38</v>
      </c>
      <c r="C13" s="343">
        <v>0</v>
      </c>
      <c r="D13" s="343">
        <v>0</v>
      </c>
    </row>
    <row r="14" spans="1:4" x14ac:dyDescent="0.25">
      <c r="A14" s="372" t="s">
        <v>98</v>
      </c>
      <c r="B14" s="373"/>
      <c r="C14" s="350">
        <f>SUM(C9:C13)</f>
        <v>760993668.0200001</v>
      </c>
      <c r="D14" s="350">
        <f>SUM(D9:D13)</f>
        <v>4682646823.0100002</v>
      </c>
    </row>
    <row r="16" spans="1:4" x14ac:dyDescent="0.25">
      <c r="A16" s="371" t="s">
        <v>99</v>
      </c>
      <c r="B16" s="371" t="s">
        <v>100</v>
      </c>
      <c r="C16" s="343">
        <v>188691.94</v>
      </c>
      <c r="D16" s="343">
        <v>1233732.01</v>
      </c>
    </row>
    <row r="17" spans="1:4" x14ac:dyDescent="0.25">
      <c r="A17" s="371" t="s">
        <v>101</v>
      </c>
      <c r="B17" s="371" t="s">
        <v>102</v>
      </c>
      <c r="C17" s="343">
        <v>366498.13</v>
      </c>
      <c r="D17" s="343">
        <v>2397396.4500000002</v>
      </c>
    </row>
    <row r="18" spans="1:4" x14ac:dyDescent="0.25">
      <c r="A18" s="371" t="s">
        <v>103</v>
      </c>
      <c r="B18" s="371" t="s">
        <v>104</v>
      </c>
      <c r="C18" s="343">
        <v>263079.89</v>
      </c>
      <c r="D18" s="343">
        <v>1643964.64</v>
      </c>
    </row>
    <row r="19" spans="1:4" x14ac:dyDescent="0.25">
      <c r="A19" s="371" t="s">
        <v>105</v>
      </c>
      <c r="B19" s="371" t="s">
        <v>106</v>
      </c>
      <c r="C19" s="343">
        <v>9380.5</v>
      </c>
      <c r="D19" s="343">
        <v>64213.54</v>
      </c>
    </row>
    <row r="20" spans="1:4" x14ac:dyDescent="0.25">
      <c r="A20" s="372" t="s">
        <v>107</v>
      </c>
      <c r="B20" s="373"/>
      <c r="C20" s="350">
        <f>SUM(C16:C19)</f>
        <v>827650.46000000008</v>
      </c>
      <c r="D20" s="350">
        <f>SUM(D16:D19)</f>
        <v>5339306.6399999997</v>
      </c>
    </row>
    <row r="22" spans="1:4" x14ac:dyDescent="0.25">
      <c r="A22" s="371" t="s">
        <v>108</v>
      </c>
      <c r="B22" s="371" t="s">
        <v>109</v>
      </c>
      <c r="C22" s="343">
        <v>58014.83</v>
      </c>
      <c r="D22" s="343">
        <v>302282.53999999998</v>
      </c>
    </row>
    <row r="23" spans="1:4" x14ac:dyDescent="0.25">
      <c r="A23" s="371" t="s">
        <v>110</v>
      </c>
      <c r="B23" s="371" t="s">
        <v>111</v>
      </c>
      <c r="C23" s="343">
        <v>112634.21</v>
      </c>
      <c r="D23" s="343">
        <v>587066.53</v>
      </c>
    </row>
    <row r="24" spans="1:4" x14ac:dyDescent="0.25">
      <c r="A24" s="371" t="s">
        <v>112</v>
      </c>
      <c r="B24" s="371" t="s">
        <v>113</v>
      </c>
      <c r="C24" s="343">
        <v>49749.39</v>
      </c>
      <c r="D24" s="343">
        <v>286061.07</v>
      </c>
    </row>
    <row r="25" spans="1:4" x14ac:dyDescent="0.25">
      <c r="A25" s="371" t="s">
        <v>114</v>
      </c>
      <c r="B25" s="371" t="s">
        <v>115</v>
      </c>
      <c r="C25" s="343">
        <v>2993.41</v>
      </c>
      <c r="D25" s="343">
        <v>16119.43</v>
      </c>
    </row>
    <row r="26" spans="1:4" x14ac:dyDescent="0.25">
      <c r="A26" s="372" t="s">
        <v>116</v>
      </c>
      <c r="B26" s="373"/>
      <c r="C26" s="350">
        <f>SUM(C22:C25)</f>
        <v>223391.84</v>
      </c>
      <c r="D26" s="350">
        <f>SUM(D22:D25)</f>
        <v>1191529.57</v>
      </c>
    </row>
    <row r="28" spans="1:4" x14ac:dyDescent="0.25">
      <c r="A28" s="371" t="s">
        <v>117</v>
      </c>
      <c r="B28" s="371" t="s">
        <v>118</v>
      </c>
      <c r="C28" s="343">
        <v>259.7</v>
      </c>
      <c r="D28" s="343">
        <v>2222.4699999999998</v>
      </c>
    </row>
    <row r="29" spans="1:4" x14ac:dyDescent="0.25">
      <c r="A29" s="371" t="s">
        <v>119</v>
      </c>
      <c r="B29" s="371" t="s">
        <v>120</v>
      </c>
      <c r="C29" s="343">
        <v>504.2</v>
      </c>
      <c r="D29" s="343">
        <v>4317.41</v>
      </c>
    </row>
    <row r="30" spans="1:4" x14ac:dyDescent="0.25">
      <c r="A30" s="371" t="s">
        <v>121</v>
      </c>
      <c r="B30" s="371" t="s">
        <v>122</v>
      </c>
      <c r="C30" s="343">
        <v>222.7</v>
      </c>
      <c r="D30" s="343">
        <v>2260.71</v>
      </c>
    </row>
    <row r="31" spans="1:4" x14ac:dyDescent="0.25">
      <c r="A31" s="371" t="s">
        <v>123</v>
      </c>
      <c r="B31" s="371" t="s">
        <v>124</v>
      </c>
      <c r="C31" s="343">
        <v>13.4</v>
      </c>
      <c r="D31" s="343">
        <v>121.58</v>
      </c>
    </row>
    <row r="32" spans="1:4" x14ac:dyDescent="0.25">
      <c r="A32" s="372" t="s">
        <v>125</v>
      </c>
      <c r="B32" s="373"/>
      <c r="C32" s="350">
        <f>SUM(C28:C31)</f>
        <v>999.99999999999989</v>
      </c>
      <c r="D32" s="350">
        <f>SUM(D28:D31)</f>
        <v>8922.17</v>
      </c>
    </row>
    <row r="34" spans="1:4" x14ac:dyDescent="0.25">
      <c r="A34" s="371" t="s">
        <v>317</v>
      </c>
      <c r="B34" s="371" t="s">
        <v>318</v>
      </c>
      <c r="C34" s="343">
        <v>0</v>
      </c>
      <c r="D34" s="343">
        <v>0</v>
      </c>
    </row>
    <row r="35" spans="1:4" x14ac:dyDescent="0.25">
      <c r="A35" s="371" t="s">
        <v>319</v>
      </c>
      <c r="B35" s="371" t="s">
        <v>320</v>
      </c>
      <c r="C35" s="343">
        <v>0</v>
      </c>
      <c r="D35" s="343">
        <v>0</v>
      </c>
    </row>
    <row r="36" spans="1:4" x14ac:dyDescent="0.25">
      <c r="A36" s="371" t="s">
        <v>321</v>
      </c>
      <c r="B36" s="371" t="s">
        <v>322</v>
      </c>
      <c r="C36" s="343">
        <v>0</v>
      </c>
      <c r="D36" s="343">
        <v>0</v>
      </c>
    </row>
    <row r="37" spans="1:4" x14ac:dyDescent="0.25">
      <c r="A37" s="371" t="s">
        <v>323</v>
      </c>
      <c r="B37" s="371" t="s">
        <v>324</v>
      </c>
      <c r="C37" s="343">
        <v>0</v>
      </c>
      <c r="D37" s="343">
        <v>0</v>
      </c>
    </row>
    <row r="38" spans="1:4" x14ac:dyDescent="0.25">
      <c r="A38" s="372" t="s">
        <v>325</v>
      </c>
      <c r="B38" s="373"/>
      <c r="C38" s="350">
        <f>SUM(C34:C37)</f>
        <v>0</v>
      </c>
      <c r="D38" s="350">
        <f>SUM(D34:D37)</f>
        <v>0</v>
      </c>
    </row>
    <row r="40" spans="1:4" x14ac:dyDescent="0.25">
      <c r="A40" s="371" t="s">
        <v>126</v>
      </c>
      <c r="B40" s="371" t="s">
        <v>347</v>
      </c>
      <c r="C40" s="343">
        <v>-1213078.71</v>
      </c>
      <c r="D40" s="343">
        <v>-2327395.54</v>
      </c>
    </row>
    <row r="41" spans="1:4" x14ac:dyDescent="0.25">
      <c r="A41" s="371" t="s">
        <v>128</v>
      </c>
      <c r="B41" s="371" t="s">
        <v>348</v>
      </c>
      <c r="C41" s="343">
        <v>-2355157.0699999998</v>
      </c>
      <c r="D41" s="343">
        <v>-14657889.32</v>
      </c>
    </row>
    <row r="42" spans="1:4" x14ac:dyDescent="0.25">
      <c r="A42" s="371" t="s">
        <v>130</v>
      </c>
      <c r="B42" s="371" t="s">
        <v>349</v>
      </c>
      <c r="C42" s="343">
        <v>-842025.89</v>
      </c>
      <c r="D42" s="343">
        <v>-2282751.56</v>
      </c>
    </row>
    <row r="43" spans="1:4" x14ac:dyDescent="0.25">
      <c r="A43" s="371" t="s">
        <v>132</v>
      </c>
      <c r="B43" s="371" t="s">
        <v>350</v>
      </c>
      <c r="C43" s="343">
        <v>-62592.41</v>
      </c>
      <c r="D43" s="343">
        <v>-126462.86</v>
      </c>
    </row>
    <row r="44" spans="1:4" x14ac:dyDescent="0.25">
      <c r="A44" s="372" t="s">
        <v>134</v>
      </c>
      <c r="B44" s="373"/>
      <c r="C44" s="350">
        <f>SUM(C40:C43)</f>
        <v>-4472854.08</v>
      </c>
      <c r="D44" s="350">
        <f>SUM(D40:D43)</f>
        <v>-19394499.279999997</v>
      </c>
    </row>
    <row r="46" spans="1:4" x14ac:dyDescent="0.25">
      <c r="A46" s="371" t="s">
        <v>326</v>
      </c>
      <c r="B46" s="371" t="s">
        <v>327</v>
      </c>
      <c r="C46" s="343">
        <v>0</v>
      </c>
      <c r="D46" s="343">
        <v>0</v>
      </c>
    </row>
    <row r="47" spans="1:4" x14ac:dyDescent="0.25">
      <c r="A47" s="371" t="s">
        <v>328</v>
      </c>
      <c r="B47" s="371" t="s">
        <v>329</v>
      </c>
      <c r="C47" s="343">
        <v>7541566</v>
      </c>
      <c r="D47" s="343">
        <v>26360437</v>
      </c>
    </row>
    <row r="48" spans="1:4" x14ac:dyDescent="0.25">
      <c r="A48" s="371" t="s">
        <v>330</v>
      </c>
      <c r="B48" s="371" t="s">
        <v>331</v>
      </c>
      <c r="C48" s="343">
        <v>9047468</v>
      </c>
      <c r="D48" s="343">
        <v>112941238</v>
      </c>
    </row>
    <row r="49" spans="1:4" x14ac:dyDescent="0.25">
      <c r="A49" s="371" t="s">
        <v>332</v>
      </c>
      <c r="B49" s="371" t="s">
        <v>333</v>
      </c>
      <c r="C49" s="343">
        <v>0</v>
      </c>
      <c r="D49" s="343">
        <v>0</v>
      </c>
    </row>
    <row r="50" spans="1:4" x14ac:dyDescent="0.25">
      <c r="A50" s="372" t="s">
        <v>334</v>
      </c>
      <c r="B50" s="373"/>
      <c r="C50" s="350">
        <f>SUM(C46:C49)</f>
        <v>16589034</v>
      </c>
      <c r="D50" s="350">
        <f>SUM(D46:D49)</f>
        <v>139301675</v>
      </c>
    </row>
    <row r="52" spans="1:4" x14ac:dyDescent="0.25">
      <c r="A52" s="371" t="s">
        <v>135</v>
      </c>
      <c r="B52" s="371" t="s">
        <v>136</v>
      </c>
      <c r="C52" s="343">
        <v>-139280763.31</v>
      </c>
      <c r="D52" s="343">
        <v>-1018556134.29</v>
      </c>
    </row>
    <row r="53" spans="1:4" x14ac:dyDescent="0.25">
      <c r="A53" s="371" t="s">
        <v>137</v>
      </c>
      <c r="B53" s="371" t="s">
        <v>138</v>
      </c>
      <c r="C53" s="343">
        <v>-315558337.54000002</v>
      </c>
      <c r="D53" s="343">
        <v>-2036627538.1600001</v>
      </c>
    </row>
    <row r="54" spans="1:4" x14ac:dyDescent="0.25">
      <c r="A54" s="371" t="s">
        <v>139</v>
      </c>
      <c r="B54" s="371" t="s">
        <v>140</v>
      </c>
      <c r="C54" s="343">
        <v>-142262930.81</v>
      </c>
      <c r="D54" s="343">
        <v>-1080392039.9100001</v>
      </c>
    </row>
    <row r="55" spans="1:4" x14ac:dyDescent="0.25">
      <c r="A55" s="371" t="s">
        <v>141</v>
      </c>
      <c r="B55" s="371" t="s">
        <v>142</v>
      </c>
      <c r="C55" s="343">
        <v>-8211795.2699999996</v>
      </c>
      <c r="D55" s="343">
        <v>-53107946.869999997</v>
      </c>
    </row>
    <row r="56" spans="1:4" x14ac:dyDescent="0.25">
      <c r="A56" s="372" t="s">
        <v>143</v>
      </c>
      <c r="B56" s="373"/>
      <c r="C56" s="350">
        <f>SUM(C52:C55)</f>
        <v>-605313826.93000007</v>
      </c>
      <c r="D56" s="350">
        <f>SUM(D52:D55)</f>
        <v>-4188683659.2299995</v>
      </c>
    </row>
    <row r="58" spans="1:4" x14ac:dyDescent="0.25">
      <c r="A58" s="371" t="s">
        <v>351</v>
      </c>
      <c r="B58" s="371" t="s">
        <v>352</v>
      </c>
      <c r="C58" s="343">
        <v>1762697.3</v>
      </c>
      <c r="D58" s="343">
        <v>13902719.220000001</v>
      </c>
    </row>
    <row r="59" spans="1:4" x14ac:dyDescent="0.25">
      <c r="A59" s="371" t="s">
        <v>353</v>
      </c>
      <c r="B59" s="371" t="s">
        <v>354</v>
      </c>
      <c r="C59" s="343">
        <v>0</v>
      </c>
      <c r="D59" s="343">
        <v>0</v>
      </c>
    </row>
    <row r="60" spans="1:4" x14ac:dyDescent="0.25">
      <c r="C60" s="343">
        <f>SUM(C58:C59)</f>
        <v>1762697.3</v>
      </c>
      <c r="D60" s="343">
        <f>SUM(D58:D59)</f>
        <v>13902719.220000001</v>
      </c>
    </row>
    <row r="62" spans="1:4" x14ac:dyDescent="0.25">
      <c r="A62" s="372" t="s">
        <v>144</v>
      </c>
      <c r="B62" s="372" t="s">
        <v>39</v>
      </c>
      <c r="C62" s="350">
        <v>0</v>
      </c>
      <c r="D62" s="350">
        <v>0</v>
      </c>
    </row>
    <row r="63" spans="1:4" x14ac:dyDescent="0.25">
      <c r="A63" s="371" t="s">
        <v>145</v>
      </c>
    </row>
    <row r="66" spans="1:4" x14ac:dyDescent="0.25">
      <c r="A66" s="371" t="s">
        <v>146</v>
      </c>
      <c r="B66" s="371" t="s">
        <v>80</v>
      </c>
      <c r="C66" s="343">
        <v>0</v>
      </c>
      <c r="D66" s="343">
        <v>0</v>
      </c>
    </row>
    <row r="67" spans="1:4" x14ac:dyDescent="0.25">
      <c r="A67" s="371" t="s">
        <v>147</v>
      </c>
      <c r="B67" s="371" t="s">
        <v>81</v>
      </c>
      <c r="C67" s="343">
        <v>0</v>
      </c>
      <c r="D67" s="343">
        <v>0</v>
      </c>
    </row>
    <row r="68" spans="1:4" x14ac:dyDescent="0.25">
      <c r="A68" s="371" t="s">
        <v>148</v>
      </c>
      <c r="B68" s="371" t="s">
        <v>82</v>
      </c>
      <c r="C68" s="343">
        <v>0</v>
      </c>
      <c r="D68" s="343">
        <v>0</v>
      </c>
    </row>
    <row r="69" spans="1:4" x14ac:dyDescent="0.25">
      <c r="A69" s="371" t="s">
        <v>149</v>
      </c>
      <c r="B69" s="371" t="s">
        <v>83</v>
      </c>
      <c r="C69" s="343">
        <v>0</v>
      </c>
      <c r="D69" s="343">
        <v>0</v>
      </c>
    </row>
    <row r="70" spans="1:4" x14ac:dyDescent="0.25">
      <c r="A70" s="372" t="s">
        <v>150</v>
      </c>
      <c r="B70" s="373"/>
      <c r="C70" s="350">
        <f>SUM(C66:C69)</f>
        <v>0</v>
      </c>
      <c r="D70" s="350">
        <f>SUM(D66:D69)</f>
        <v>0</v>
      </c>
    </row>
    <row r="72" spans="1:4" x14ac:dyDescent="0.25">
      <c r="A72" s="371" t="s">
        <v>151</v>
      </c>
      <c r="B72" s="371" t="s">
        <v>40</v>
      </c>
      <c r="C72" s="343">
        <v>-5669683</v>
      </c>
      <c r="D72" s="343">
        <v>-34817694.420000002</v>
      </c>
    </row>
    <row r="73" spans="1:4" x14ac:dyDescent="0.25">
      <c r="A73" s="371" t="s">
        <v>152</v>
      </c>
      <c r="B73" s="371" t="s">
        <v>41</v>
      </c>
      <c r="C73" s="343">
        <v>-2445300.5299999998</v>
      </c>
      <c r="D73" s="343">
        <v>-11087098.33</v>
      </c>
    </row>
    <row r="74" spans="1:4" x14ac:dyDescent="0.25">
      <c r="A74" s="371" t="s">
        <v>153</v>
      </c>
      <c r="B74" s="371" t="s">
        <v>42</v>
      </c>
      <c r="C74" s="343">
        <v>-1104665.8899999999</v>
      </c>
      <c r="D74" s="343">
        <v>-5041409.21</v>
      </c>
    </row>
    <row r="75" spans="1:4" x14ac:dyDescent="0.25">
      <c r="A75" s="371" t="s">
        <v>154</v>
      </c>
      <c r="B75" s="371" t="s">
        <v>43</v>
      </c>
      <c r="C75" s="343">
        <v>-527023.65</v>
      </c>
      <c r="D75" s="343">
        <v>-6682902.5</v>
      </c>
    </row>
    <row r="76" spans="1:4" x14ac:dyDescent="0.25">
      <c r="A76" s="372" t="s">
        <v>155</v>
      </c>
      <c r="B76" s="373"/>
      <c r="C76" s="350">
        <f>SUM(C72:C75)</f>
        <v>-9746673.0700000003</v>
      </c>
      <c r="D76" s="350">
        <f>SUM(D72:D75)</f>
        <v>-57629104.460000001</v>
      </c>
    </row>
    <row r="78" spans="1:4" x14ac:dyDescent="0.25">
      <c r="A78" s="371" t="s">
        <v>156</v>
      </c>
      <c r="B78" s="371" t="s">
        <v>157</v>
      </c>
      <c r="C78" s="343">
        <v>1222739.72</v>
      </c>
      <c r="D78" s="343">
        <v>7958959.96</v>
      </c>
    </row>
    <row r="79" spans="1:4" x14ac:dyDescent="0.25">
      <c r="A79" s="371" t="s">
        <v>158</v>
      </c>
      <c r="B79" s="371" t="s">
        <v>159</v>
      </c>
      <c r="C79" s="343">
        <v>253589.9</v>
      </c>
      <c r="D79" s="343">
        <v>2250930.14</v>
      </c>
    </row>
    <row r="80" spans="1:4" x14ac:dyDescent="0.25">
      <c r="A80" s="371" t="s">
        <v>160</v>
      </c>
      <c r="B80" s="371" t="s">
        <v>161</v>
      </c>
      <c r="C80" s="343">
        <v>50937.53</v>
      </c>
      <c r="D80" s="343">
        <v>377132.45</v>
      </c>
    </row>
    <row r="81" spans="1:4" x14ac:dyDescent="0.25">
      <c r="A81" s="371" t="s">
        <v>162</v>
      </c>
      <c r="B81" s="371" t="s">
        <v>163</v>
      </c>
      <c r="C81" s="343">
        <v>87787.09</v>
      </c>
      <c r="D81" s="343">
        <v>881478.49</v>
      </c>
    </row>
    <row r="82" spans="1:4" x14ac:dyDescent="0.25">
      <c r="A82" s="372" t="s">
        <v>164</v>
      </c>
      <c r="B82" s="373"/>
      <c r="C82" s="350">
        <f>SUM(C78:C81)</f>
        <v>1615054.24</v>
      </c>
      <c r="D82" s="350">
        <f>SUM(D78:D81)</f>
        <v>11468501.039999999</v>
      </c>
    </row>
    <row r="84" spans="1:4" x14ac:dyDescent="0.25">
      <c r="A84" s="372" t="s">
        <v>31</v>
      </c>
      <c r="B84" s="373"/>
      <c r="C84" s="350">
        <f>C14+C20+C26+C32+C44+C56+C62+C70+C76+C82+C50+C38+C60</f>
        <v>162479141.78000009</v>
      </c>
      <c r="D84" s="350">
        <f>D14+D20+D26+D32+D44+D56+D62+D70+D76+D82+D50+D38+D60</f>
        <v>588152213.68000114</v>
      </c>
    </row>
    <row r="86" spans="1:4" x14ac:dyDescent="0.25">
      <c r="C86" s="343">
        <v>588152213.68000126</v>
      </c>
      <c r="D86" s="343">
        <v>162479141.78000003</v>
      </c>
    </row>
    <row r="88" spans="1:4" x14ac:dyDescent="0.25">
      <c r="C88" s="343">
        <f>+C86-D84</f>
        <v>0</v>
      </c>
      <c r="D88" s="343">
        <f>+D86-C84</f>
        <v>0</v>
      </c>
    </row>
  </sheetData>
  <pageMargins left="0.75" right="0.75" top="0.75" bottom="0.75" header="0.5" footer="0.5"/>
  <pageSetup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workbookViewId="0">
      <pane ySplit="8" topLeftCell="A9" activePane="bottomLeft" state="frozenSplit"/>
      <selection pane="bottomLeft" activeCell="C14" sqref="C14"/>
    </sheetView>
  </sheetViews>
  <sheetFormatPr defaultColWidth="9.109375" defaultRowHeight="13.2" x14ac:dyDescent="0.25"/>
  <cols>
    <col min="1" max="1" width="30.6640625" style="508" customWidth="1"/>
    <col min="2" max="2" width="33.6640625" style="508" customWidth="1"/>
    <col min="3" max="4" width="22.6640625" style="519" customWidth="1"/>
    <col min="5" max="16384" width="9.109375" style="508"/>
  </cols>
  <sheetData>
    <row r="1" spans="1:4" x14ac:dyDescent="0.25">
      <c r="B1" s="509" t="s">
        <v>53</v>
      </c>
      <c r="C1" s="510"/>
      <c r="D1" s="510"/>
    </row>
    <row r="2" spans="1:4" x14ac:dyDescent="0.25">
      <c r="B2" s="511" t="s">
        <v>86</v>
      </c>
      <c r="C2" s="512"/>
      <c r="D2" s="512"/>
    </row>
    <row r="3" spans="1:4" x14ac:dyDescent="0.25">
      <c r="B3" s="509" t="s">
        <v>377</v>
      </c>
      <c r="C3" s="510"/>
      <c r="D3" s="510"/>
    </row>
    <row r="4" spans="1:4" x14ac:dyDescent="0.25">
      <c r="B4" s="509" t="s">
        <v>376</v>
      </c>
      <c r="C4" s="510"/>
      <c r="D4" s="510"/>
    </row>
    <row r="5" spans="1:4" x14ac:dyDescent="0.25">
      <c r="B5" s="513" t="s">
        <v>378</v>
      </c>
      <c r="C5" s="514"/>
      <c r="D5" s="514"/>
    </row>
    <row r="7" spans="1:4" x14ac:dyDescent="0.25">
      <c r="B7" s="515" t="s">
        <v>30</v>
      </c>
      <c r="C7" s="516" t="s">
        <v>170</v>
      </c>
      <c r="D7" s="516" t="s">
        <v>92</v>
      </c>
    </row>
    <row r="9" spans="1:4" x14ac:dyDescent="0.25">
      <c r="A9" s="517" t="s">
        <v>93</v>
      </c>
      <c r="B9" s="517" t="s">
        <v>34</v>
      </c>
      <c r="C9" s="518">
        <v>197959372.22</v>
      </c>
      <c r="D9" s="518">
        <v>973576373.91999996</v>
      </c>
    </row>
    <row r="10" spans="1:4" x14ac:dyDescent="0.25">
      <c r="A10" s="517" t="s">
        <v>94</v>
      </c>
      <c r="B10" s="517" t="s">
        <v>35</v>
      </c>
      <c r="C10" s="519">
        <v>384445941.85000002</v>
      </c>
      <c r="D10" s="519">
        <v>1891957141.7</v>
      </c>
    </row>
    <row r="11" spans="1:4" x14ac:dyDescent="0.25">
      <c r="A11" s="517" t="s">
        <v>95</v>
      </c>
      <c r="B11" s="517" t="s">
        <v>36</v>
      </c>
      <c r="C11" s="519">
        <v>169708115.13999999</v>
      </c>
      <c r="D11" s="519">
        <v>1002401013.85</v>
      </c>
    </row>
    <row r="12" spans="1:4" x14ac:dyDescent="0.25">
      <c r="A12" s="517" t="s">
        <v>96</v>
      </c>
      <c r="B12" s="517" t="s">
        <v>37</v>
      </c>
      <c r="C12" s="519">
        <v>10201695.140000001</v>
      </c>
      <c r="D12" s="519">
        <v>53718625.520000003</v>
      </c>
    </row>
    <row r="13" spans="1:4" x14ac:dyDescent="0.25">
      <c r="A13" s="517" t="s">
        <v>97</v>
      </c>
      <c r="B13" s="517" t="s">
        <v>38</v>
      </c>
      <c r="C13" s="519">
        <v>0</v>
      </c>
      <c r="D13" s="519">
        <v>0</v>
      </c>
    </row>
    <row r="14" spans="1:4" x14ac:dyDescent="0.25">
      <c r="A14" s="520" t="s">
        <v>98</v>
      </c>
      <c r="B14" s="521"/>
      <c r="C14" s="522">
        <f>SUM(C9:C13)</f>
        <v>762315124.35000002</v>
      </c>
      <c r="D14" s="522">
        <f>SUM(D9:D13)</f>
        <v>3921653154.9899998</v>
      </c>
    </row>
    <row r="16" spans="1:4" x14ac:dyDescent="0.25">
      <c r="A16" s="517" t="s">
        <v>99</v>
      </c>
      <c r="B16" s="517" t="s">
        <v>100</v>
      </c>
      <c r="C16" s="519">
        <v>239771.46</v>
      </c>
      <c r="D16" s="519">
        <v>1045040.07</v>
      </c>
    </row>
    <row r="17" spans="1:4" x14ac:dyDescent="0.25">
      <c r="A17" s="517" t="s">
        <v>101</v>
      </c>
      <c r="B17" s="517" t="s">
        <v>102</v>
      </c>
      <c r="C17" s="519">
        <v>466060.2</v>
      </c>
      <c r="D17" s="519">
        <v>2030898.32</v>
      </c>
    </row>
    <row r="18" spans="1:4" x14ac:dyDescent="0.25">
      <c r="A18" s="517" t="s">
        <v>103</v>
      </c>
      <c r="B18" s="517" t="s">
        <v>104</v>
      </c>
      <c r="C18" s="519">
        <v>263554.53000000003</v>
      </c>
      <c r="D18" s="519">
        <v>1380884.75</v>
      </c>
    </row>
    <row r="19" spans="1:4" x14ac:dyDescent="0.25">
      <c r="A19" s="517" t="s">
        <v>105</v>
      </c>
      <c r="B19" s="517" t="s">
        <v>106</v>
      </c>
      <c r="C19" s="519">
        <v>12023.83</v>
      </c>
      <c r="D19" s="519">
        <v>54833.04</v>
      </c>
    </row>
    <row r="20" spans="1:4" x14ac:dyDescent="0.25">
      <c r="A20" s="520" t="s">
        <v>107</v>
      </c>
      <c r="B20" s="521"/>
      <c r="C20" s="522">
        <f>SUM(C16:C19)</f>
        <v>981410.02</v>
      </c>
      <c r="D20" s="522">
        <f>SUM(D16:D19)</f>
        <v>4511656.1800000006</v>
      </c>
    </row>
    <row r="22" spans="1:4" x14ac:dyDescent="0.25">
      <c r="A22" s="517" t="s">
        <v>108</v>
      </c>
      <c r="B22" s="517" t="s">
        <v>109</v>
      </c>
      <c r="C22" s="519">
        <v>85755.95</v>
      </c>
      <c r="D22" s="519">
        <v>244267.71</v>
      </c>
    </row>
    <row r="23" spans="1:4" x14ac:dyDescent="0.25">
      <c r="A23" s="517" t="s">
        <v>110</v>
      </c>
      <c r="B23" s="517" t="s">
        <v>111</v>
      </c>
      <c r="C23" s="519">
        <v>166492.71</v>
      </c>
      <c r="D23" s="519">
        <v>474432.32</v>
      </c>
    </row>
    <row r="24" spans="1:4" x14ac:dyDescent="0.25">
      <c r="A24" s="517" t="s">
        <v>112</v>
      </c>
      <c r="B24" s="517" t="s">
        <v>113</v>
      </c>
      <c r="C24" s="519">
        <v>73538.11</v>
      </c>
      <c r="D24" s="519">
        <v>236311.67999999999</v>
      </c>
    </row>
    <row r="25" spans="1:4" x14ac:dyDescent="0.25">
      <c r="A25" s="517" t="s">
        <v>114</v>
      </c>
      <c r="B25" s="517" t="s">
        <v>115</v>
      </c>
      <c r="C25" s="519">
        <v>4424.8</v>
      </c>
      <c r="D25" s="519">
        <v>13126.02</v>
      </c>
    </row>
    <row r="26" spans="1:4" x14ac:dyDescent="0.25">
      <c r="A26" s="520" t="s">
        <v>116</v>
      </c>
      <c r="B26" s="521"/>
      <c r="C26" s="522">
        <f>SUM(C22:C25)</f>
        <v>330211.56999999995</v>
      </c>
      <c r="D26" s="522">
        <f>SUM(D22:D25)</f>
        <v>968137.73</v>
      </c>
    </row>
    <row r="28" spans="1:4" x14ac:dyDescent="0.25">
      <c r="A28" s="517" t="s">
        <v>117</v>
      </c>
      <c r="B28" s="517" t="s">
        <v>118</v>
      </c>
      <c r="C28" s="519">
        <v>743.33</v>
      </c>
      <c r="D28" s="519">
        <v>1962.77</v>
      </c>
    </row>
    <row r="29" spans="1:4" x14ac:dyDescent="0.25">
      <c r="A29" s="517" t="s">
        <v>119</v>
      </c>
      <c r="B29" s="517" t="s">
        <v>120</v>
      </c>
      <c r="C29" s="519">
        <v>1443.15</v>
      </c>
      <c r="D29" s="519">
        <v>3813.21</v>
      </c>
    </row>
    <row r="30" spans="1:4" x14ac:dyDescent="0.25">
      <c r="A30" s="517" t="s">
        <v>121</v>
      </c>
      <c r="B30" s="517" t="s">
        <v>122</v>
      </c>
      <c r="C30" s="519">
        <v>637.42999999999995</v>
      </c>
      <c r="D30" s="519">
        <v>2038.01</v>
      </c>
    </row>
    <row r="31" spans="1:4" x14ac:dyDescent="0.25">
      <c r="A31" s="517" t="s">
        <v>123</v>
      </c>
      <c r="B31" s="517" t="s">
        <v>124</v>
      </c>
      <c r="C31" s="519">
        <v>38.35</v>
      </c>
      <c r="D31" s="519">
        <v>108.18</v>
      </c>
    </row>
    <row r="32" spans="1:4" x14ac:dyDescent="0.25">
      <c r="A32" s="520" t="s">
        <v>125</v>
      </c>
      <c r="B32" s="521"/>
      <c r="C32" s="522">
        <f>SUM(C28:C31)</f>
        <v>2862.2599999999998</v>
      </c>
      <c r="D32" s="522">
        <f>SUM(D28:D31)</f>
        <v>7922.17</v>
      </c>
    </row>
    <row r="34" spans="1:4" x14ac:dyDescent="0.25">
      <c r="A34" s="517" t="s">
        <v>317</v>
      </c>
      <c r="B34" s="517" t="s">
        <v>318</v>
      </c>
      <c r="C34" s="519">
        <v>0</v>
      </c>
      <c r="D34" s="519">
        <v>0</v>
      </c>
    </row>
    <row r="35" spans="1:4" x14ac:dyDescent="0.25">
      <c r="A35" s="517" t="s">
        <v>319</v>
      </c>
      <c r="B35" s="517" t="s">
        <v>320</v>
      </c>
      <c r="C35" s="519">
        <v>0</v>
      </c>
      <c r="D35" s="519">
        <v>0</v>
      </c>
    </row>
    <row r="36" spans="1:4" x14ac:dyDescent="0.25">
      <c r="A36" s="517" t="s">
        <v>321</v>
      </c>
      <c r="B36" s="517" t="s">
        <v>322</v>
      </c>
      <c r="C36" s="519">
        <v>0</v>
      </c>
      <c r="D36" s="519">
        <v>0</v>
      </c>
    </row>
    <row r="37" spans="1:4" x14ac:dyDescent="0.25">
      <c r="A37" s="517" t="s">
        <v>323</v>
      </c>
      <c r="B37" s="517" t="s">
        <v>324</v>
      </c>
      <c r="C37" s="519">
        <v>0</v>
      </c>
      <c r="D37" s="519">
        <v>0</v>
      </c>
    </row>
    <row r="38" spans="1:4" x14ac:dyDescent="0.25">
      <c r="A38" s="520" t="s">
        <v>325</v>
      </c>
      <c r="B38" s="521"/>
      <c r="C38" s="522">
        <f>SUM(C34:C37)</f>
        <v>0</v>
      </c>
      <c r="D38" s="522">
        <f>SUM(D34:D37)</f>
        <v>0</v>
      </c>
    </row>
    <row r="40" spans="1:4" x14ac:dyDescent="0.25">
      <c r="A40" s="517" t="s">
        <v>126</v>
      </c>
      <c r="B40" s="517" t="s">
        <v>347</v>
      </c>
      <c r="C40" s="519">
        <v>2917.04</v>
      </c>
      <c r="D40" s="519">
        <v>-1114316.83</v>
      </c>
    </row>
    <row r="41" spans="1:4" x14ac:dyDescent="0.25">
      <c r="A41" s="517" t="s">
        <v>128</v>
      </c>
      <c r="B41" s="517" t="s">
        <v>348</v>
      </c>
      <c r="C41" s="519">
        <v>4667.55</v>
      </c>
      <c r="D41" s="519">
        <v>-12302732.25</v>
      </c>
    </row>
    <row r="42" spans="1:4" x14ac:dyDescent="0.25">
      <c r="A42" s="517" t="s">
        <v>130</v>
      </c>
      <c r="B42" s="517" t="s">
        <v>349</v>
      </c>
      <c r="C42" s="519">
        <v>2061.61</v>
      </c>
      <c r="D42" s="519">
        <v>-1440725.67</v>
      </c>
    </row>
    <row r="43" spans="1:4" x14ac:dyDescent="0.25">
      <c r="A43" s="517" t="s">
        <v>132</v>
      </c>
      <c r="B43" s="517" t="s">
        <v>350</v>
      </c>
      <c r="C43" s="519">
        <v>124.05</v>
      </c>
      <c r="D43" s="519">
        <v>-63870.45</v>
      </c>
    </row>
    <row r="44" spans="1:4" x14ac:dyDescent="0.25">
      <c r="A44" s="520" t="s">
        <v>134</v>
      </c>
      <c r="B44" s="521"/>
      <c r="C44" s="522">
        <f>SUM(C40:C43)</f>
        <v>9770.25</v>
      </c>
      <c r="D44" s="522">
        <f>SUM(D40:D43)</f>
        <v>-14921645.199999999</v>
      </c>
    </row>
    <row r="46" spans="1:4" x14ac:dyDescent="0.25">
      <c r="A46" s="517" t="s">
        <v>326</v>
      </c>
      <c r="B46" s="517" t="s">
        <v>327</v>
      </c>
      <c r="C46" s="519">
        <v>0</v>
      </c>
      <c r="D46" s="519">
        <v>0</v>
      </c>
    </row>
    <row r="47" spans="1:4" x14ac:dyDescent="0.25">
      <c r="A47" s="517" t="s">
        <v>328</v>
      </c>
      <c r="B47" s="517" t="s">
        <v>329</v>
      </c>
      <c r="C47" s="519">
        <v>21201456</v>
      </c>
      <c r="D47" s="519">
        <v>18818871</v>
      </c>
    </row>
    <row r="48" spans="1:4" x14ac:dyDescent="0.25">
      <c r="A48" s="517" t="s">
        <v>330</v>
      </c>
      <c r="B48" s="517" t="s">
        <v>331</v>
      </c>
      <c r="C48" s="519">
        <v>26112532</v>
      </c>
      <c r="D48" s="519">
        <v>103893770</v>
      </c>
    </row>
    <row r="49" spans="1:4" x14ac:dyDescent="0.25">
      <c r="A49" s="517" t="s">
        <v>332</v>
      </c>
      <c r="B49" s="517" t="s">
        <v>333</v>
      </c>
      <c r="C49" s="519">
        <v>0</v>
      </c>
      <c r="D49" s="519">
        <v>0</v>
      </c>
    </row>
    <row r="50" spans="1:4" x14ac:dyDescent="0.25">
      <c r="A50" s="520" t="s">
        <v>334</v>
      </c>
      <c r="B50" s="521"/>
      <c r="C50" s="522">
        <f>SUM(C46:C49)</f>
        <v>47313988</v>
      </c>
      <c r="D50" s="522">
        <f>SUM(D46:D49)</f>
        <v>122712641</v>
      </c>
    </row>
    <row r="52" spans="1:4" x14ac:dyDescent="0.25">
      <c r="A52" s="517" t="s">
        <v>135</v>
      </c>
      <c r="B52" s="517" t="s">
        <v>136</v>
      </c>
      <c r="C52" s="519">
        <v>-160113543.50999999</v>
      </c>
      <c r="D52" s="519">
        <v>-879275370.98000002</v>
      </c>
    </row>
    <row r="53" spans="1:4" x14ac:dyDescent="0.25">
      <c r="A53" s="517" t="s">
        <v>137</v>
      </c>
      <c r="B53" s="517" t="s">
        <v>138</v>
      </c>
      <c r="C53" s="519">
        <v>-323624264.38999999</v>
      </c>
      <c r="D53" s="519">
        <v>-1721069200.6199999</v>
      </c>
    </row>
    <row r="54" spans="1:4" x14ac:dyDescent="0.25">
      <c r="A54" s="517" t="s">
        <v>139</v>
      </c>
      <c r="B54" s="517" t="s">
        <v>140</v>
      </c>
      <c r="C54" s="519">
        <v>-153874147.09999999</v>
      </c>
      <c r="D54" s="519">
        <v>-938129109.10000002</v>
      </c>
    </row>
    <row r="55" spans="1:4" x14ac:dyDescent="0.25">
      <c r="A55" s="517" t="s">
        <v>141</v>
      </c>
      <c r="B55" s="517" t="s">
        <v>142</v>
      </c>
      <c r="C55" s="519">
        <v>-9661397.6999999993</v>
      </c>
      <c r="D55" s="519">
        <v>-44896151.600000001</v>
      </c>
    </row>
    <row r="56" spans="1:4" x14ac:dyDescent="0.25">
      <c r="A56" s="520" t="s">
        <v>143</v>
      </c>
      <c r="B56" s="521"/>
      <c r="C56" s="522">
        <f>SUM(C52:C55)</f>
        <v>-647273352.70000005</v>
      </c>
      <c r="D56" s="522">
        <f>SUM(D52:D55)</f>
        <v>-3583369832.2999997</v>
      </c>
    </row>
    <row r="58" spans="1:4" x14ac:dyDescent="0.25">
      <c r="A58" s="517" t="s">
        <v>351</v>
      </c>
      <c r="B58" s="517" t="s">
        <v>352</v>
      </c>
      <c r="C58" s="519">
        <v>-2108031.86</v>
      </c>
      <c r="D58" s="519">
        <v>12140021.92</v>
      </c>
    </row>
    <row r="59" spans="1:4" x14ac:dyDescent="0.25">
      <c r="A59" s="517" t="s">
        <v>353</v>
      </c>
      <c r="B59" s="517" t="s">
        <v>354</v>
      </c>
      <c r="C59" s="519">
        <v>0</v>
      </c>
      <c r="D59" s="519">
        <v>0</v>
      </c>
    </row>
    <row r="60" spans="1:4" x14ac:dyDescent="0.25">
      <c r="C60" s="519">
        <f>SUM(C58:C59)</f>
        <v>-2108031.86</v>
      </c>
      <c r="D60" s="519">
        <f>SUM(D58:D59)</f>
        <v>12140021.92</v>
      </c>
    </row>
    <row r="62" spans="1:4" x14ac:dyDescent="0.25">
      <c r="A62" s="520" t="s">
        <v>144</v>
      </c>
      <c r="B62" s="520" t="s">
        <v>39</v>
      </c>
      <c r="C62" s="522">
        <v>0</v>
      </c>
      <c r="D62" s="522">
        <v>0</v>
      </c>
    </row>
    <row r="63" spans="1:4" x14ac:dyDescent="0.25">
      <c r="A63" s="517" t="s">
        <v>145</v>
      </c>
    </row>
    <row r="66" spans="1:4" x14ac:dyDescent="0.25">
      <c r="A66" s="517" t="s">
        <v>146</v>
      </c>
      <c r="B66" s="517" t="s">
        <v>80</v>
      </c>
      <c r="C66" s="519">
        <v>0</v>
      </c>
      <c r="D66" s="519">
        <v>0</v>
      </c>
    </row>
    <row r="67" spans="1:4" x14ac:dyDescent="0.25">
      <c r="A67" s="517" t="s">
        <v>147</v>
      </c>
      <c r="B67" s="517" t="s">
        <v>81</v>
      </c>
      <c r="C67" s="519">
        <v>0</v>
      </c>
      <c r="D67" s="519">
        <v>0</v>
      </c>
    </row>
    <row r="68" spans="1:4" x14ac:dyDescent="0.25">
      <c r="A68" s="517" t="s">
        <v>148</v>
      </c>
      <c r="B68" s="517" t="s">
        <v>82</v>
      </c>
      <c r="C68" s="519">
        <v>0</v>
      </c>
      <c r="D68" s="519">
        <v>0</v>
      </c>
    </row>
    <row r="69" spans="1:4" x14ac:dyDescent="0.25">
      <c r="A69" s="517" t="s">
        <v>149</v>
      </c>
      <c r="B69" s="517" t="s">
        <v>83</v>
      </c>
      <c r="C69" s="519">
        <v>0</v>
      </c>
      <c r="D69" s="519">
        <v>0</v>
      </c>
    </row>
    <row r="70" spans="1:4" x14ac:dyDescent="0.25">
      <c r="A70" s="520" t="s">
        <v>150</v>
      </c>
      <c r="B70" s="521"/>
      <c r="C70" s="522">
        <f>SUM(C66:C69)</f>
        <v>0</v>
      </c>
      <c r="D70" s="522">
        <f>SUM(D66:D69)</f>
        <v>0</v>
      </c>
    </row>
    <row r="72" spans="1:4" x14ac:dyDescent="0.25">
      <c r="A72" s="517" t="s">
        <v>151</v>
      </c>
      <c r="B72" s="517" t="s">
        <v>40</v>
      </c>
      <c r="C72" s="519">
        <v>-5236782.6100000003</v>
      </c>
      <c r="D72" s="519">
        <v>-29148011.420000002</v>
      </c>
    </row>
    <row r="73" spans="1:4" x14ac:dyDescent="0.25">
      <c r="A73" s="517" t="s">
        <v>152</v>
      </c>
      <c r="B73" s="517" t="s">
        <v>41</v>
      </c>
      <c r="C73" s="519">
        <v>-2216125.54</v>
      </c>
      <c r="D73" s="519">
        <v>-8641797.8000000007</v>
      </c>
    </row>
    <row r="74" spans="1:4" x14ac:dyDescent="0.25">
      <c r="A74" s="517" t="s">
        <v>153</v>
      </c>
      <c r="B74" s="517" t="s">
        <v>42</v>
      </c>
      <c r="C74" s="519">
        <v>-788581.19</v>
      </c>
      <c r="D74" s="519">
        <v>-3936743.32</v>
      </c>
    </row>
    <row r="75" spans="1:4" x14ac:dyDescent="0.25">
      <c r="A75" s="517" t="s">
        <v>154</v>
      </c>
      <c r="B75" s="517" t="s">
        <v>43</v>
      </c>
      <c r="C75" s="519">
        <v>-879756.09</v>
      </c>
      <c r="D75" s="519">
        <v>-6155878.8499999996</v>
      </c>
    </row>
    <row r="76" spans="1:4" x14ac:dyDescent="0.25">
      <c r="A76" s="520" t="s">
        <v>155</v>
      </c>
      <c r="B76" s="521"/>
      <c r="C76" s="522">
        <f>SUM(C72:C75)</f>
        <v>-9121245.4299999997</v>
      </c>
      <c r="D76" s="522">
        <f>SUM(D72:D75)</f>
        <v>-47882431.390000001</v>
      </c>
    </row>
    <row r="78" spans="1:4" x14ac:dyDescent="0.25">
      <c r="A78" s="517" t="s">
        <v>156</v>
      </c>
      <c r="B78" s="517" t="s">
        <v>157</v>
      </c>
      <c r="C78" s="519">
        <v>1202452.32</v>
      </c>
      <c r="D78" s="519">
        <v>6736220.2400000002</v>
      </c>
    </row>
    <row r="79" spans="1:4" x14ac:dyDescent="0.25">
      <c r="A79" s="517" t="s">
        <v>158</v>
      </c>
      <c r="B79" s="517" t="s">
        <v>159</v>
      </c>
      <c r="C79" s="519">
        <v>249035.74</v>
      </c>
      <c r="D79" s="519">
        <v>1997340.24</v>
      </c>
    </row>
    <row r="80" spans="1:4" x14ac:dyDescent="0.25">
      <c r="A80" s="517" t="s">
        <v>160</v>
      </c>
      <c r="B80" s="517" t="s">
        <v>161</v>
      </c>
      <c r="C80" s="519">
        <v>49316.94</v>
      </c>
      <c r="D80" s="519">
        <v>326194.92</v>
      </c>
    </row>
    <row r="81" spans="1:4" x14ac:dyDescent="0.25">
      <c r="A81" s="517" t="s">
        <v>162</v>
      </c>
      <c r="B81" s="517" t="s">
        <v>163</v>
      </c>
      <c r="C81" s="519">
        <v>87148.25</v>
      </c>
      <c r="D81" s="519">
        <v>793691.4</v>
      </c>
    </row>
    <row r="82" spans="1:4" x14ac:dyDescent="0.25">
      <c r="A82" s="520" t="s">
        <v>164</v>
      </c>
      <c r="B82" s="521"/>
      <c r="C82" s="522">
        <f>SUM(C78:C81)</f>
        <v>1587953.25</v>
      </c>
      <c r="D82" s="522">
        <f>SUM(D78:D81)</f>
        <v>9853446.8000000007</v>
      </c>
    </row>
    <row r="84" spans="1:4" x14ac:dyDescent="0.25">
      <c r="A84" s="520" t="s">
        <v>31</v>
      </c>
      <c r="B84" s="521"/>
      <c r="C84" s="522">
        <f>C14+C20+C26+C32+C44+C56+C62+C70+C76+C82+C50+C38+C60</f>
        <v>154038689.70999998</v>
      </c>
      <c r="D84" s="522">
        <f>D14+D20+D26+D32+D44+D56+D62+D70+D76+D82+D50+D38+D60</f>
        <v>425673071.90000021</v>
      </c>
    </row>
  </sheetData>
  <pageMargins left="0.75" right="0.75" top="0.75" bottom="0.75" header="0.5" footer="0.5"/>
  <pageSetup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8" topLeftCell="A22" activePane="bottomLeft" state="frozenSplit"/>
      <selection pane="bottomLeft" activeCell="D26" sqref="D26"/>
    </sheetView>
  </sheetViews>
  <sheetFormatPr defaultColWidth="9.109375" defaultRowHeight="13.2" x14ac:dyDescent="0.25"/>
  <cols>
    <col min="1" max="1" width="30.6640625" style="508" customWidth="1"/>
    <col min="2" max="2" width="33.6640625" style="508" customWidth="1"/>
    <col min="3" max="4" width="22.6640625" style="519" customWidth="1"/>
    <col min="5" max="16384" width="9.109375" style="508"/>
  </cols>
  <sheetData>
    <row r="1" spans="1:4" x14ac:dyDescent="0.25">
      <c r="B1" s="509" t="s">
        <v>53</v>
      </c>
      <c r="C1" s="510"/>
      <c r="D1" s="510"/>
    </row>
    <row r="2" spans="1:4" x14ac:dyDescent="0.25">
      <c r="B2" s="511" t="s">
        <v>86</v>
      </c>
      <c r="C2" s="512"/>
      <c r="D2" s="512"/>
    </row>
    <row r="3" spans="1:4" x14ac:dyDescent="0.25">
      <c r="B3" s="509" t="s">
        <v>375</v>
      </c>
      <c r="C3" s="510"/>
      <c r="D3" s="510"/>
    </row>
    <row r="4" spans="1:4" x14ac:dyDescent="0.25">
      <c r="B4" s="509" t="s">
        <v>376</v>
      </c>
      <c r="C4" s="510"/>
      <c r="D4" s="510"/>
    </row>
    <row r="5" spans="1:4" x14ac:dyDescent="0.25">
      <c r="B5" s="513" t="s">
        <v>378</v>
      </c>
      <c r="C5" s="514"/>
      <c r="D5" s="514"/>
    </row>
    <row r="7" spans="1:4" x14ac:dyDescent="0.25">
      <c r="B7" s="515" t="s">
        <v>30</v>
      </c>
      <c r="C7" s="516" t="s">
        <v>167</v>
      </c>
      <c r="D7" s="516" t="s">
        <v>92</v>
      </c>
    </row>
    <row r="9" spans="1:4" x14ac:dyDescent="0.25">
      <c r="A9" s="517" t="s">
        <v>93</v>
      </c>
      <c r="B9" s="517" t="s">
        <v>34</v>
      </c>
      <c r="C9" s="518">
        <v>199564584.30000001</v>
      </c>
      <c r="D9" s="518">
        <v>775617001.70000005</v>
      </c>
    </row>
    <row r="10" spans="1:4" x14ac:dyDescent="0.25">
      <c r="A10" s="517" t="s">
        <v>94</v>
      </c>
      <c r="B10" s="517" t="s">
        <v>35</v>
      </c>
      <c r="C10" s="519">
        <v>387516973.08999997</v>
      </c>
      <c r="D10" s="519">
        <v>1507511199.8499999</v>
      </c>
    </row>
    <row r="11" spans="1:4" x14ac:dyDescent="0.25">
      <c r="A11" s="517" t="s">
        <v>95</v>
      </c>
      <c r="B11" s="517" t="s">
        <v>36</v>
      </c>
      <c r="C11" s="519">
        <v>171107342.22999999</v>
      </c>
      <c r="D11" s="519">
        <v>832692898.71000004</v>
      </c>
    </row>
    <row r="12" spans="1:4" x14ac:dyDescent="0.25">
      <c r="A12" s="517" t="s">
        <v>96</v>
      </c>
      <c r="B12" s="517" t="s">
        <v>37</v>
      </c>
      <c r="C12" s="519">
        <v>10279336.939999999</v>
      </c>
      <c r="D12" s="519">
        <v>43516930.380000003</v>
      </c>
    </row>
    <row r="13" spans="1:4" x14ac:dyDescent="0.25">
      <c r="A13" s="517" t="s">
        <v>97</v>
      </c>
      <c r="B13" s="517" t="s">
        <v>38</v>
      </c>
      <c r="C13" s="519">
        <v>0</v>
      </c>
      <c r="D13" s="519">
        <v>0</v>
      </c>
    </row>
    <row r="14" spans="1:4" x14ac:dyDescent="0.25">
      <c r="A14" s="520" t="s">
        <v>98</v>
      </c>
      <c r="B14" s="521"/>
      <c r="C14" s="522">
        <f>SUM(C9:C13)</f>
        <v>768468236.56000006</v>
      </c>
      <c r="D14" s="522">
        <f>SUM(D9:D13)</f>
        <v>3159338030.6400003</v>
      </c>
    </row>
    <row r="16" spans="1:4" x14ac:dyDescent="0.25">
      <c r="A16" s="517" t="s">
        <v>99</v>
      </c>
      <c r="B16" s="517" t="s">
        <v>100</v>
      </c>
      <c r="C16" s="519">
        <v>347399.16</v>
      </c>
      <c r="D16" s="519">
        <v>805268.61</v>
      </c>
    </row>
    <row r="17" spans="1:4" x14ac:dyDescent="0.25">
      <c r="A17" s="517" t="s">
        <v>101</v>
      </c>
      <c r="B17" s="517" t="s">
        <v>102</v>
      </c>
      <c r="C17" s="519">
        <v>675456.8</v>
      </c>
      <c r="D17" s="519">
        <v>1564838.12</v>
      </c>
    </row>
    <row r="18" spans="1:4" x14ac:dyDescent="0.25">
      <c r="A18" s="517" t="s">
        <v>103</v>
      </c>
      <c r="B18" s="517" t="s">
        <v>104</v>
      </c>
      <c r="C18" s="519">
        <v>432282.42</v>
      </c>
      <c r="D18" s="519">
        <v>1117330.22</v>
      </c>
    </row>
    <row r="19" spans="1:4" x14ac:dyDescent="0.25">
      <c r="A19" s="517" t="s">
        <v>105</v>
      </c>
      <c r="B19" s="517" t="s">
        <v>106</v>
      </c>
      <c r="C19" s="519">
        <v>17592.43</v>
      </c>
      <c r="D19" s="519">
        <v>42809.21</v>
      </c>
    </row>
    <row r="20" spans="1:4" x14ac:dyDescent="0.25">
      <c r="A20" s="520" t="s">
        <v>107</v>
      </c>
      <c r="B20" s="521"/>
      <c r="C20" s="522">
        <f>SUM(C16:C19)</f>
        <v>1472730.8099999998</v>
      </c>
      <c r="D20" s="522">
        <f>SUM(D16:D19)</f>
        <v>3530246.16</v>
      </c>
    </row>
    <row r="22" spans="1:4" x14ac:dyDescent="0.25">
      <c r="A22" s="517" t="s">
        <v>108</v>
      </c>
      <c r="B22" s="517" t="s">
        <v>109</v>
      </c>
      <c r="C22" s="519">
        <v>66266.289999999994</v>
      </c>
      <c r="D22" s="519">
        <v>158511.76</v>
      </c>
    </row>
    <row r="23" spans="1:4" x14ac:dyDescent="0.25">
      <c r="A23" s="517" t="s">
        <v>110</v>
      </c>
      <c r="B23" s="517" t="s">
        <v>111</v>
      </c>
      <c r="C23" s="519">
        <v>128654.12</v>
      </c>
      <c r="D23" s="519">
        <v>307939.61</v>
      </c>
    </row>
    <row r="24" spans="1:4" x14ac:dyDescent="0.25">
      <c r="A24" s="517" t="s">
        <v>112</v>
      </c>
      <c r="B24" s="517" t="s">
        <v>113</v>
      </c>
      <c r="C24" s="519">
        <v>56825.19</v>
      </c>
      <c r="D24" s="519">
        <v>162773.57</v>
      </c>
    </row>
    <row r="25" spans="1:4" x14ac:dyDescent="0.25">
      <c r="A25" s="517" t="s">
        <v>114</v>
      </c>
      <c r="B25" s="517" t="s">
        <v>115</v>
      </c>
      <c r="C25" s="519">
        <v>3419.31</v>
      </c>
      <c r="D25" s="519">
        <v>8701.2199999999993</v>
      </c>
    </row>
    <row r="26" spans="1:4" x14ac:dyDescent="0.25">
      <c r="A26" s="520" t="s">
        <v>116</v>
      </c>
      <c r="B26" s="521"/>
      <c r="C26" s="522">
        <f>SUM(C22:C25)</f>
        <v>255164.90999999997</v>
      </c>
      <c r="D26" s="522">
        <f>SUM(D22:D25)</f>
        <v>637926.15999999992</v>
      </c>
    </row>
    <row r="28" spans="1:4" x14ac:dyDescent="0.25">
      <c r="A28" s="517" t="s">
        <v>117</v>
      </c>
      <c r="B28" s="517" t="s">
        <v>118</v>
      </c>
      <c r="C28" s="519">
        <v>0</v>
      </c>
      <c r="D28" s="519">
        <v>1219.44</v>
      </c>
    </row>
    <row r="29" spans="1:4" x14ac:dyDescent="0.25">
      <c r="A29" s="517" t="s">
        <v>119</v>
      </c>
      <c r="B29" s="517" t="s">
        <v>120</v>
      </c>
      <c r="C29" s="519">
        <v>0</v>
      </c>
      <c r="D29" s="519">
        <v>2370.06</v>
      </c>
    </row>
    <row r="30" spans="1:4" x14ac:dyDescent="0.25">
      <c r="A30" s="517" t="s">
        <v>121</v>
      </c>
      <c r="B30" s="517" t="s">
        <v>122</v>
      </c>
      <c r="C30" s="519">
        <v>0</v>
      </c>
      <c r="D30" s="519">
        <v>1400.58</v>
      </c>
    </row>
    <row r="31" spans="1:4" x14ac:dyDescent="0.25">
      <c r="A31" s="517" t="s">
        <v>123</v>
      </c>
      <c r="B31" s="517" t="s">
        <v>124</v>
      </c>
      <c r="C31" s="519">
        <v>0</v>
      </c>
      <c r="D31" s="519">
        <v>69.83</v>
      </c>
    </row>
    <row r="32" spans="1:4" x14ac:dyDescent="0.25">
      <c r="A32" s="520" t="s">
        <v>125</v>
      </c>
      <c r="B32" s="521"/>
      <c r="C32" s="522">
        <f>SUM(C28:C31)</f>
        <v>0</v>
      </c>
      <c r="D32" s="522">
        <f>SUM(D28:D31)</f>
        <v>5059.91</v>
      </c>
    </row>
    <row r="34" spans="1:4" x14ac:dyDescent="0.25">
      <c r="A34" s="517" t="s">
        <v>317</v>
      </c>
      <c r="B34" s="517" t="s">
        <v>318</v>
      </c>
      <c r="C34" s="519">
        <v>0</v>
      </c>
      <c r="D34" s="519">
        <v>0</v>
      </c>
    </row>
    <row r="35" spans="1:4" x14ac:dyDescent="0.25">
      <c r="A35" s="517" t="s">
        <v>319</v>
      </c>
      <c r="B35" s="517" t="s">
        <v>320</v>
      </c>
      <c r="C35" s="519">
        <v>0</v>
      </c>
      <c r="D35" s="519">
        <v>0</v>
      </c>
    </row>
    <row r="36" spans="1:4" x14ac:dyDescent="0.25">
      <c r="A36" s="517" t="s">
        <v>321</v>
      </c>
      <c r="B36" s="517" t="s">
        <v>322</v>
      </c>
      <c r="C36" s="519">
        <v>0</v>
      </c>
      <c r="D36" s="519">
        <v>0</v>
      </c>
    </row>
    <row r="37" spans="1:4" x14ac:dyDescent="0.25">
      <c r="A37" s="517" t="s">
        <v>323</v>
      </c>
      <c r="B37" s="517" t="s">
        <v>324</v>
      </c>
      <c r="C37" s="519">
        <v>0</v>
      </c>
      <c r="D37" s="519">
        <v>0</v>
      </c>
    </row>
    <row r="38" spans="1:4" x14ac:dyDescent="0.25">
      <c r="A38" s="520" t="s">
        <v>325</v>
      </c>
      <c r="B38" s="521"/>
      <c r="C38" s="522">
        <f>SUM(C34:C37)</f>
        <v>0</v>
      </c>
      <c r="D38" s="522">
        <f>SUM(D34:D37)</f>
        <v>0</v>
      </c>
    </row>
    <row r="40" spans="1:4" x14ac:dyDescent="0.25">
      <c r="A40" s="517" t="s">
        <v>126</v>
      </c>
      <c r="B40" s="517" t="s">
        <v>347</v>
      </c>
      <c r="C40" s="519">
        <v>4432.43</v>
      </c>
      <c r="D40" s="519">
        <v>-1117233.8700000001</v>
      </c>
    </row>
    <row r="41" spans="1:4" x14ac:dyDescent="0.25">
      <c r="A41" s="517" t="s">
        <v>128</v>
      </c>
      <c r="B41" s="517" t="s">
        <v>348</v>
      </c>
      <c r="C41" s="519">
        <v>8607.66</v>
      </c>
      <c r="D41" s="519">
        <v>-12307399.800000001</v>
      </c>
    </row>
    <row r="42" spans="1:4" x14ac:dyDescent="0.25">
      <c r="A42" s="517" t="s">
        <v>130</v>
      </c>
      <c r="B42" s="517" t="s">
        <v>349</v>
      </c>
      <c r="C42" s="519">
        <v>4111.08</v>
      </c>
      <c r="D42" s="519">
        <v>-1442787.28</v>
      </c>
    </row>
    <row r="43" spans="1:4" x14ac:dyDescent="0.25">
      <c r="A43" s="517" t="s">
        <v>132</v>
      </c>
      <c r="B43" s="517" t="s">
        <v>350</v>
      </c>
      <c r="C43" s="519">
        <v>234.74</v>
      </c>
      <c r="D43" s="519">
        <v>-63994.5</v>
      </c>
    </row>
    <row r="44" spans="1:4" x14ac:dyDescent="0.25">
      <c r="A44" s="520" t="s">
        <v>134</v>
      </c>
      <c r="B44" s="521"/>
      <c r="C44" s="522">
        <f>SUM(C40:C43)</f>
        <v>17385.91</v>
      </c>
      <c r="D44" s="522">
        <f>SUM(D40:D43)</f>
        <v>-14931415.450000001</v>
      </c>
    </row>
    <row r="46" spans="1:4" x14ac:dyDescent="0.25">
      <c r="A46" s="517" t="s">
        <v>326</v>
      </c>
      <c r="B46" s="517" t="s">
        <v>327</v>
      </c>
      <c r="C46" s="519">
        <v>0</v>
      </c>
      <c r="D46" s="519">
        <v>0</v>
      </c>
    </row>
    <row r="47" spans="1:4" x14ac:dyDescent="0.25">
      <c r="A47" s="517" t="s">
        <v>328</v>
      </c>
      <c r="B47" s="517" t="s">
        <v>329</v>
      </c>
      <c r="C47" s="519">
        <v>621143</v>
      </c>
      <c r="D47" s="519">
        <v>-2382585</v>
      </c>
    </row>
    <row r="48" spans="1:4" x14ac:dyDescent="0.25">
      <c r="A48" s="517" t="s">
        <v>330</v>
      </c>
      <c r="B48" s="517" t="s">
        <v>331</v>
      </c>
      <c r="C48" s="519">
        <v>6283760</v>
      </c>
      <c r="D48" s="519">
        <v>77781238</v>
      </c>
    </row>
    <row r="49" spans="1:4" x14ac:dyDescent="0.25">
      <c r="A49" s="517" t="s">
        <v>332</v>
      </c>
      <c r="B49" s="517" t="s">
        <v>333</v>
      </c>
      <c r="C49" s="519">
        <v>0</v>
      </c>
      <c r="D49" s="519">
        <v>0</v>
      </c>
    </row>
    <row r="50" spans="1:4" x14ac:dyDescent="0.25">
      <c r="A50" s="520" t="s">
        <v>334</v>
      </c>
      <c r="B50" s="521"/>
      <c r="C50" s="522">
        <f>SUM(C46:C49)</f>
        <v>6904903</v>
      </c>
      <c r="D50" s="522">
        <f>SUM(D46:D49)</f>
        <v>75398653</v>
      </c>
    </row>
    <row r="52" spans="1:4" x14ac:dyDescent="0.25">
      <c r="A52" s="517" t="s">
        <v>135</v>
      </c>
      <c r="B52" s="517" t="s">
        <v>136</v>
      </c>
      <c r="C52" s="519">
        <v>-158479561.25</v>
      </c>
      <c r="D52" s="519">
        <v>-719161827.47000003</v>
      </c>
    </row>
    <row r="53" spans="1:4" x14ac:dyDescent="0.25">
      <c r="A53" s="517" t="s">
        <v>137</v>
      </c>
      <c r="B53" s="517" t="s">
        <v>138</v>
      </c>
      <c r="C53" s="519">
        <v>-346251778.35000002</v>
      </c>
      <c r="D53" s="519">
        <v>-1397444936.23</v>
      </c>
    </row>
    <row r="54" spans="1:4" x14ac:dyDescent="0.25">
      <c r="A54" s="517" t="s">
        <v>139</v>
      </c>
      <c r="B54" s="517" t="s">
        <v>140</v>
      </c>
      <c r="C54" s="519">
        <v>-178828341</v>
      </c>
      <c r="D54" s="519">
        <v>-784254962</v>
      </c>
    </row>
    <row r="55" spans="1:4" x14ac:dyDescent="0.25">
      <c r="A55" s="517" t="s">
        <v>141</v>
      </c>
      <c r="B55" s="517" t="s">
        <v>142</v>
      </c>
      <c r="C55" s="519">
        <v>-5800709.6900000004</v>
      </c>
      <c r="D55" s="519">
        <v>-35234753.899999999</v>
      </c>
    </row>
    <row r="56" spans="1:4" x14ac:dyDescent="0.25">
      <c r="A56" s="520" t="s">
        <v>143</v>
      </c>
      <c r="B56" s="521"/>
      <c r="C56" s="522">
        <f>SUM(C52:C55)</f>
        <v>-689360390.29000008</v>
      </c>
      <c r="D56" s="522">
        <f>SUM(D52:D55)</f>
        <v>-2936096479.5999999</v>
      </c>
    </row>
    <row r="58" spans="1:4" x14ac:dyDescent="0.25">
      <c r="A58" s="517" t="s">
        <v>351</v>
      </c>
      <c r="B58" s="517" t="s">
        <v>352</v>
      </c>
      <c r="C58" s="519">
        <v>-131197.6</v>
      </c>
      <c r="D58" s="519">
        <v>14248053.779999999</v>
      </c>
    </row>
    <row r="59" spans="1:4" x14ac:dyDescent="0.25">
      <c r="A59" s="517" t="s">
        <v>353</v>
      </c>
      <c r="B59" s="517" t="s">
        <v>354</v>
      </c>
      <c r="C59" s="519">
        <v>0</v>
      </c>
      <c r="D59" s="519">
        <v>0</v>
      </c>
    </row>
    <row r="60" spans="1:4" x14ac:dyDescent="0.25">
      <c r="C60" s="519">
        <f>SUM(C58:C59)</f>
        <v>-131197.6</v>
      </c>
      <c r="D60" s="519">
        <f>SUM(D58:D59)</f>
        <v>14248053.779999999</v>
      </c>
    </row>
    <row r="62" spans="1:4" x14ac:dyDescent="0.25">
      <c r="A62" s="520" t="s">
        <v>144</v>
      </c>
      <c r="B62" s="520" t="s">
        <v>39</v>
      </c>
      <c r="C62" s="522">
        <v>0</v>
      </c>
      <c r="D62" s="522">
        <v>0</v>
      </c>
    </row>
    <row r="63" spans="1:4" x14ac:dyDescent="0.25">
      <c r="A63" s="517" t="s">
        <v>145</v>
      </c>
    </row>
    <row r="66" spans="1:4" x14ac:dyDescent="0.25">
      <c r="A66" s="517" t="s">
        <v>146</v>
      </c>
      <c r="B66" s="517" t="s">
        <v>80</v>
      </c>
      <c r="C66" s="519">
        <v>0</v>
      </c>
      <c r="D66" s="519">
        <v>0</v>
      </c>
    </row>
    <row r="67" spans="1:4" x14ac:dyDescent="0.25">
      <c r="A67" s="517" t="s">
        <v>147</v>
      </c>
      <c r="B67" s="517" t="s">
        <v>81</v>
      </c>
      <c r="C67" s="519">
        <v>0</v>
      </c>
      <c r="D67" s="519">
        <v>0</v>
      </c>
    </row>
    <row r="68" spans="1:4" x14ac:dyDescent="0.25">
      <c r="A68" s="517" t="s">
        <v>148</v>
      </c>
      <c r="B68" s="517" t="s">
        <v>82</v>
      </c>
      <c r="C68" s="519">
        <v>0</v>
      </c>
      <c r="D68" s="519">
        <v>0</v>
      </c>
    </row>
    <row r="69" spans="1:4" x14ac:dyDescent="0.25">
      <c r="A69" s="517" t="s">
        <v>149</v>
      </c>
      <c r="B69" s="517" t="s">
        <v>83</v>
      </c>
      <c r="C69" s="519">
        <v>0</v>
      </c>
      <c r="D69" s="519">
        <v>0</v>
      </c>
    </row>
    <row r="70" spans="1:4" x14ac:dyDescent="0.25">
      <c r="A70" s="520" t="s">
        <v>150</v>
      </c>
      <c r="B70" s="521"/>
      <c r="C70" s="522">
        <f>SUM(C66:C69)</f>
        <v>0</v>
      </c>
      <c r="D70" s="522">
        <f>SUM(D66:D69)</f>
        <v>0</v>
      </c>
    </row>
    <row r="72" spans="1:4" x14ac:dyDescent="0.25">
      <c r="A72" s="517" t="s">
        <v>151</v>
      </c>
      <c r="B72" s="517" t="s">
        <v>40</v>
      </c>
      <c r="C72" s="519">
        <v>-6247523.4100000001</v>
      </c>
      <c r="D72" s="519">
        <v>-23911228.809999999</v>
      </c>
    </row>
    <row r="73" spans="1:4" x14ac:dyDescent="0.25">
      <c r="A73" s="517" t="s">
        <v>152</v>
      </c>
      <c r="B73" s="517" t="s">
        <v>41</v>
      </c>
      <c r="C73" s="519">
        <v>-1592345.37</v>
      </c>
      <c r="D73" s="519">
        <v>-6425672.2599999998</v>
      </c>
    </row>
    <row r="74" spans="1:4" x14ac:dyDescent="0.25">
      <c r="A74" s="517" t="s">
        <v>153</v>
      </c>
      <c r="B74" s="517" t="s">
        <v>42</v>
      </c>
      <c r="C74" s="519">
        <v>-922359.19</v>
      </c>
      <c r="D74" s="519">
        <v>-3148162.13</v>
      </c>
    </row>
    <row r="75" spans="1:4" x14ac:dyDescent="0.25">
      <c r="A75" s="517" t="s">
        <v>154</v>
      </c>
      <c r="B75" s="517" t="s">
        <v>43</v>
      </c>
      <c r="C75" s="519">
        <v>-1172057.68</v>
      </c>
      <c r="D75" s="519">
        <v>-5276122.76</v>
      </c>
    </row>
    <row r="76" spans="1:4" x14ac:dyDescent="0.25">
      <c r="A76" s="520" t="s">
        <v>155</v>
      </c>
      <c r="B76" s="521"/>
      <c r="C76" s="522">
        <f>SUM(C72:C75)</f>
        <v>-9934285.6500000004</v>
      </c>
      <c r="D76" s="522">
        <f>SUM(D72:D75)</f>
        <v>-38761185.960000001</v>
      </c>
    </row>
    <row r="78" spans="1:4" x14ac:dyDescent="0.25">
      <c r="A78" s="517" t="s">
        <v>156</v>
      </c>
      <c r="B78" s="517" t="s">
        <v>157</v>
      </c>
      <c r="C78" s="519">
        <v>1422961.81</v>
      </c>
      <c r="D78" s="519">
        <v>5533767.9199999999</v>
      </c>
    </row>
    <row r="79" spans="1:4" x14ac:dyDescent="0.25">
      <c r="A79" s="517" t="s">
        <v>158</v>
      </c>
      <c r="B79" s="517" t="s">
        <v>159</v>
      </c>
      <c r="C79" s="519">
        <v>293791.65000000002</v>
      </c>
      <c r="D79" s="519">
        <v>1748304.5</v>
      </c>
    </row>
    <row r="80" spans="1:4" x14ac:dyDescent="0.25">
      <c r="A80" s="517" t="s">
        <v>160</v>
      </c>
      <c r="B80" s="517" t="s">
        <v>161</v>
      </c>
      <c r="C80" s="519">
        <v>57930.99</v>
      </c>
      <c r="D80" s="519">
        <v>276877.98</v>
      </c>
    </row>
    <row r="81" spans="1:4" x14ac:dyDescent="0.25">
      <c r="A81" s="517" t="s">
        <v>162</v>
      </c>
      <c r="B81" s="517" t="s">
        <v>163</v>
      </c>
      <c r="C81" s="519">
        <v>103140.75</v>
      </c>
      <c r="D81" s="519">
        <v>706543.15</v>
      </c>
    </row>
    <row r="82" spans="1:4" x14ac:dyDescent="0.25">
      <c r="A82" s="520" t="s">
        <v>164</v>
      </c>
      <c r="B82" s="521"/>
      <c r="C82" s="522">
        <f>SUM(C78:C81)</f>
        <v>1877825.2</v>
      </c>
      <c r="D82" s="522">
        <f>SUM(D78:D81)</f>
        <v>8265493.5500000007</v>
      </c>
    </row>
    <row r="84" spans="1:4" x14ac:dyDescent="0.25">
      <c r="A84" s="520" t="s">
        <v>31</v>
      </c>
      <c r="B84" s="521"/>
      <c r="C84" s="522">
        <f>C14+C20+C26+C32+C44+C56+C62+C70+C76+C82+C50+C38+C60</f>
        <v>79570372.84999986</v>
      </c>
      <c r="D84" s="522">
        <f>D14+D20+D26+D32+D44+D56+D62+D70+D76+D82+D50+D38+D60</f>
        <v>271634382.19000018</v>
      </c>
    </row>
    <row r="86" spans="1:4" x14ac:dyDescent="0.25">
      <c r="C86" s="519">
        <v>271634382.19000036</v>
      </c>
      <c r="D86" s="519">
        <v>79570372.84999983</v>
      </c>
    </row>
    <row r="89" spans="1:4" x14ac:dyDescent="0.25">
      <c r="C89" s="519">
        <f>+C86-D84</f>
        <v>0</v>
      </c>
      <c r="D89" s="519">
        <f>+D86-C84</f>
        <v>0</v>
      </c>
    </row>
  </sheetData>
  <pageMargins left="0.75" right="0.75" top="0.75" bottom="0.75" header="0.5" footer="0.5"/>
  <pageSetup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6" workbookViewId="0">
      <selection activeCell="C84" sqref="C8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403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404</v>
      </c>
      <c r="C5" s="342"/>
      <c r="D5" s="342"/>
    </row>
    <row r="7" spans="1:4" x14ac:dyDescent="0.25">
      <c r="B7" s="344" t="s">
        <v>30</v>
      </c>
      <c r="C7" s="345" t="s">
        <v>202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184882784.90000001</v>
      </c>
      <c r="D9" s="347">
        <v>184882784.90000001</v>
      </c>
    </row>
    <row r="10" spans="1:4" x14ac:dyDescent="0.25">
      <c r="A10" s="346" t="s">
        <v>94</v>
      </c>
      <c r="B10" s="346" t="s">
        <v>35</v>
      </c>
      <c r="C10" s="343">
        <v>352105532.32999998</v>
      </c>
      <c r="D10" s="343">
        <v>352105532.32999998</v>
      </c>
    </row>
    <row r="11" spans="1:4" x14ac:dyDescent="0.25">
      <c r="A11" s="346" t="s">
        <v>95</v>
      </c>
      <c r="B11" s="346" t="s">
        <v>36</v>
      </c>
      <c r="C11" s="343">
        <v>129027785.25</v>
      </c>
      <c r="D11" s="343">
        <v>129027785.25</v>
      </c>
    </row>
    <row r="12" spans="1:4" x14ac:dyDescent="0.25">
      <c r="A12" s="346" t="s">
        <v>96</v>
      </c>
      <c r="B12" s="346" t="s">
        <v>37</v>
      </c>
      <c r="C12" s="343">
        <v>18481433.52</v>
      </c>
      <c r="D12" s="343">
        <v>18481433.52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684497536</v>
      </c>
      <c r="D14" s="561">
        <f>SUM(D9:D13)</f>
        <v>684497536</v>
      </c>
    </row>
    <row r="16" spans="1:4" x14ac:dyDescent="0.25">
      <c r="A16" s="346" t="s">
        <v>99</v>
      </c>
      <c r="B16" s="346" t="s">
        <v>100</v>
      </c>
      <c r="C16" s="343">
        <v>222264.83</v>
      </c>
      <c r="D16" s="343">
        <v>222264.83</v>
      </c>
    </row>
    <row r="17" spans="1:4" x14ac:dyDescent="0.25">
      <c r="A17" s="346" t="s">
        <v>101</v>
      </c>
      <c r="B17" s="346" t="s">
        <v>102</v>
      </c>
      <c r="C17" s="343">
        <v>422692.68</v>
      </c>
      <c r="D17" s="343">
        <v>422692.68</v>
      </c>
    </row>
    <row r="18" spans="1:4" x14ac:dyDescent="0.25">
      <c r="A18" s="346" t="s">
        <v>103</v>
      </c>
      <c r="B18" s="346" t="s">
        <v>104</v>
      </c>
      <c r="C18" s="343">
        <v>231650.37</v>
      </c>
      <c r="D18" s="343">
        <v>231650.37</v>
      </c>
    </row>
    <row r="19" spans="1:4" x14ac:dyDescent="0.25">
      <c r="A19" s="346" t="s">
        <v>105</v>
      </c>
      <c r="B19" s="346" t="s">
        <v>106</v>
      </c>
      <c r="C19" s="343">
        <v>21585.14</v>
      </c>
      <c r="D19" s="343">
        <v>21585.14</v>
      </c>
    </row>
    <row r="20" spans="1:4" x14ac:dyDescent="0.25">
      <c r="A20" s="559" t="s">
        <v>107</v>
      </c>
      <c r="B20" s="560"/>
      <c r="C20" s="561">
        <f>SUM(C16:C19)</f>
        <v>898193.02</v>
      </c>
      <c r="D20" s="561">
        <f>SUM(D16:D19)</f>
        <v>898193.02</v>
      </c>
    </row>
    <row r="22" spans="1:4" x14ac:dyDescent="0.25">
      <c r="A22" s="346" t="s">
        <v>108</v>
      </c>
      <c r="B22" s="346" t="s">
        <v>109</v>
      </c>
      <c r="C22" s="343">
        <v>68093.919999999998</v>
      </c>
      <c r="D22" s="343">
        <v>68093.919999999998</v>
      </c>
    </row>
    <row r="23" spans="1:4" x14ac:dyDescent="0.25">
      <c r="A23" s="346" t="s">
        <v>110</v>
      </c>
      <c r="B23" s="346" t="s">
        <v>111</v>
      </c>
      <c r="C23" s="343">
        <v>129683.41</v>
      </c>
      <c r="D23" s="343">
        <v>129683.41</v>
      </c>
    </row>
    <row r="24" spans="1:4" x14ac:dyDescent="0.25">
      <c r="A24" s="346" t="s">
        <v>112</v>
      </c>
      <c r="B24" s="346" t="s">
        <v>113</v>
      </c>
      <c r="C24" s="343">
        <v>47521.97</v>
      </c>
      <c r="D24" s="343">
        <v>47521.97</v>
      </c>
    </row>
    <row r="25" spans="1:4" x14ac:dyDescent="0.25">
      <c r="A25" s="346" t="s">
        <v>114</v>
      </c>
      <c r="B25" s="346" t="s">
        <v>115</v>
      </c>
      <c r="C25" s="343">
        <v>6806.93</v>
      </c>
      <c r="D25" s="343">
        <v>6806.93</v>
      </c>
    </row>
    <row r="26" spans="1:4" x14ac:dyDescent="0.25">
      <c r="A26" s="559" t="s">
        <v>116</v>
      </c>
      <c r="B26" s="560"/>
      <c r="C26" s="561">
        <f>SUM(C22:C25)</f>
        <v>252106.23</v>
      </c>
      <c r="D26" s="561">
        <f>SUM(D22:D25)</f>
        <v>252106.23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0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0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0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0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66990.62</v>
      </c>
      <c r="D40" s="343">
        <v>66990.62</v>
      </c>
    </row>
    <row r="41" spans="1:4" x14ac:dyDescent="0.25">
      <c r="A41" s="346" t="s">
        <v>128</v>
      </c>
      <c r="B41" s="346" t="s">
        <v>348</v>
      </c>
      <c r="C41" s="343">
        <v>127587.33</v>
      </c>
      <c r="D41" s="343">
        <v>127587.33</v>
      </c>
    </row>
    <row r="42" spans="1:4" x14ac:dyDescent="0.25">
      <c r="A42" s="346" t="s">
        <v>130</v>
      </c>
      <c r="B42" s="346" t="s">
        <v>349</v>
      </c>
      <c r="C42" s="343">
        <v>46625.78</v>
      </c>
      <c r="D42" s="343">
        <v>46625.78</v>
      </c>
    </row>
    <row r="43" spans="1:4" x14ac:dyDescent="0.25">
      <c r="A43" s="346" t="s">
        <v>132</v>
      </c>
      <c r="B43" s="346" t="s">
        <v>350</v>
      </c>
      <c r="C43" s="343">
        <v>6694.37</v>
      </c>
      <c r="D43" s="343">
        <v>6694.37</v>
      </c>
    </row>
    <row r="44" spans="1:4" x14ac:dyDescent="0.25">
      <c r="A44" s="559" t="s">
        <v>134</v>
      </c>
      <c r="B44" s="560"/>
      <c r="C44" s="561">
        <f>SUM(C40:C43)</f>
        <v>247898.1</v>
      </c>
      <c r="D44" s="561">
        <f>SUM(D40:D43)</f>
        <v>247898.1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11514429.74</v>
      </c>
      <c r="D47" s="343">
        <v>11514429.74</v>
      </c>
    </row>
    <row r="48" spans="1:4" x14ac:dyDescent="0.25">
      <c r="A48" s="346" t="s">
        <v>330</v>
      </c>
      <c r="B48" s="346" t="s">
        <v>331</v>
      </c>
      <c r="C48" s="343">
        <v>321925</v>
      </c>
      <c r="D48" s="343">
        <v>321925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11836354.74</v>
      </c>
      <c r="D50" s="561">
        <f>SUM(D46:D49)</f>
        <v>11836354.74</v>
      </c>
    </row>
    <row r="52" spans="1:4" x14ac:dyDescent="0.25">
      <c r="A52" s="346" t="s">
        <v>135</v>
      </c>
      <c r="B52" s="346" t="s">
        <v>385</v>
      </c>
      <c r="C52" s="343">
        <v>-292045518.64999998</v>
      </c>
      <c r="D52" s="343">
        <v>-292045518.64999998</v>
      </c>
    </row>
    <row r="53" spans="1:4" x14ac:dyDescent="0.25">
      <c r="A53" s="346" t="s">
        <v>137</v>
      </c>
      <c r="B53" s="346" t="s">
        <v>386</v>
      </c>
      <c r="C53" s="343">
        <v>-308749020.07999998</v>
      </c>
      <c r="D53" s="343">
        <v>-308749020.07999998</v>
      </c>
    </row>
    <row r="54" spans="1:4" x14ac:dyDescent="0.25">
      <c r="A54" s="346" t="s">
        <v>139</v>
      </c>
      <c r="B54" s="346" t="s">
        <v>387</v>
      </c>
      <c r="C54" s="343">
        <v>-153281212.52000001</v>
      </c>
      <c r="D54" s="343">
        <v>-153281212.52000001</v>
      </c>
    </row>
    <row r="55" spans="1:4" x14ac:dyDescent="0.25">
      <c r="A55" s="346" t="s">
        <v>141</v>
      </c>
      <c r="B55" s="346" t="s">
        <v>388</v>
      </c>
      <c r="C55" s="343">
        <v>-11157154.859999999</v>
      </c>
      <c r="D55" s="343">
        <v>-11157154.859999999</v>
      </c>
    </row>
    <row r="56" spans="1:4" x14ac:dyDescent="0.25">
      <c r="A56" s="559" t="s">
        <v>143</v>
      </c>
      <c r="B56" s="560"/>
      <c r="C56" s="561">
        <f>SUM(C52:C55)</f>
        <v>-765232906.11000001</v>
      </c>
      <c r="D56" s="561">
        <f>SUM(D52:D55)</f>
        <v>-765232906.11000001</v>
      </c>
    </row>
    <row r="58" spans="1:4" x14ac:dyDescent="0.25">
      <c r="A58" s="346" t="s">
        <v>351</v>
      </c>
      <c r="B58" s="346" t="s">
        <v>352</v>
      </c>
      <c r="C58" s="343">
        <v>360409.68</v>
      </c>
      <c r="D58" s="343">
        <v>360409.68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360409.68</v>
      </c>
      <c r="D60" s="343">
        <f>SUM(D58:D59)</f>
        <v>360409.68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-5762807.9199999999</v>
      </c>
      <c r="D72" s="343">
        <v>-5762807.9199999999</v>
      </c>
    </row>
    <row r="73" spans="1:4" x14ac:dyDescent="0.25">
      <c r="A73" s="346" t="s">
        <v>152</v>
      </c>
      <c r="B73" s="346" t="s">
        <v>41</v>
      </c>
      <c r="C73" s="343">
        <v>-1940741.72</v>
      </c>
      <c r="D73" s="343">
        <v>-1940741.72</v>
      </c>
    </row>
    <row r="74" spans="1:4" x14ac:dyDescent="0.25">
      <c r="A74" s="346" t="s">
        <v>153</v>
      </c>
      <c r="B74" s="346" t="s">
        <v>42</v>
      </c>
      <c r="C74" s="343">
        <v>-963754.63</v>
      </c>
      <c r="D74" s="343">
        <v>-963754.63</v>
      </c>
    </row>
    <row r="75" spans="1:4" x14ac:dyDescent="0.25">
      <c r="A75" s="346" t="s">
        <v>154</v>
      </c>
      <c r="B75" s="346" t="s">
        <v>43</v>
      </c>
      <c r="C75" s="343">
        <v>-1222342.1499999999</v>
      </c>
      <c r="D75" s="343">
        <v>-1222342.1499999999</v>
      </c>
    </row>
    <row r="76" spans="1:4" x14ac:dyDescent="0.25">
      <c r="A76" s="559" t="s">
        <v>155</v>
      </c>
      <c r="B76" s="560"/>
      <c r="C76" s="561">
        <f>SUM(C72:C75)</f>
        <v>-9889646.4199999999</v>
      </c>
      <c r="D76" s="561">
        <f>SUM(D72:D75)</f>
        <v>-9889646.4199999999</v>
      </c>
    </row>
    <row r="78" spans="1:4" x14ac:dyDescent="0.25">
      <c r="A78" s="346" t="s">
        <v>156</v>
      </c>
      <c r="B78" s="346" t="s">
        <v>394</v>
      </c>
      <c r="C78" s="343">
        <v>1337255.01</v>
      </c>
      <c r="D78" s="343">
        <v>1337255.01</v>
      </c>
    </row>
    <row r="79" spans="1:4" x14ac:dyDescent="0.25">
      <c r="A79" s="346" t="s">
        <v>158</v>
      </c>
      <c r="B79" s="346" t="s">
        <v>395</v>
      </c>
      <c r="C79" s="343">
        <v>366230.98</v>
      </c>
      <c r="D79" s="343">
        <v>366230.98</v>
      </c>
    </row>
    <row r="80" spans="1:4" x14ac:dyDescent="0.25">
      <c r="A80" s="346" t="s">
        <v>160</v>
      </c>
      <c r="B80" s="346" t="s">
        <v>396</v>
      </c>
      <c r="C80" s="343">
        <v>68533.320000000007</v>
      </c>
      <c r="D80" s="343">
        <v>68533.320000000007</v>
      </c>
    </row>
    <row r="81" spans="1:4" x14ac:dyDescent="0.25">
      <c r="A81" s="346" t="s">
        <v>162</v>
      </c>
      <c r="B81" s="346" t="s">
        <v>397</v>
      </c>
      <c r="C81" s="343">
        <v>89446.13</v>
      </c>
      <c r="D81" s="343">
        <v>89446.13</v>
      </c>
    </row>
    <row r="82" spans="1:4" x14ac:dyDescent="0.25">
      <c r="A82" s="559" t="s">
        <v>164</v>
      </c>
      <c r="B82" s="560"/>
      <c r="C82" s="561">
        <f>SUM(C78:C81)</f>
        <v>1861465.44</v>
      </c>
      <c r="D82" s="561">
        <f>SUM(D78:D81)</f>
        <v>1861465.44</v>
      </c>
    </row>
    <row r="84" spans="1:4" x14ac:dyDescent="0.25">
      <c r="A84" s="559" t="s">
        <v>31</v>
      </c>
      <c r="B84" s="560"/>
      <c r="C84" s="561">
        <f>C14+C20+C26+C32+C44+C56+C62+C70+C76+C82+C50+C38+C60</f>
        <v>-75168589.319999993</v>
      </c>
      <c r="D84" s="561">
        <f>D14+D20+D26+D32+D44+D56+D62+D70+D76+D82+D50+D38+D60</f>
        <v>-75168589.319999993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8" workbookViewId="0">
      <selection activeCell="H54" sqref="H5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405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404</v>
      </c>
      <c r="C5" s="342"/>
      <c r="D5" s="342"/>
    </row>
    <row r="7" spans="1:4" x14ac:dyDescent="0.25">
      <c r="B7" s="344" t="s">
        <v>30</v>
      </c>
      <c r="C7" s="345" t="s">
        <v>205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194281014.11000001</v>
      </c>
      <c r="D9" s="347">
        <v>379163799.00999999</v>
      </c>
    </row>
    <row r="10" spans="1:4" x14ac:dyDescent="0.25">
      <c r="A10" s="346" t="s">
        <v>94</v>
      </c>
      <c r="B10" s="346" t="s">
        <v>35</v>
      </c>
      <c r="C10" s="343">
        <v>370004270.19</v>
      </c>
      <c r="D10" s="343">
        <v>722109802.51999998</v>
      </c>
    </row>
    <row r="11" spans="1:4" x14ac:dyDescent="0.25">
      <c r="A11" s="346" t="s">
        <v>95</v>
      </c>
      <c r="B11" s="346" t="s">
        <v>36</v>
      </c>
      <c r="C11" s="343">
        <v>135586712.38999999</v>
      </c>
      <c r="D11" s="343">
        <v>264614497.63999999</v>
      </c>
    </row>
    <row r="12" spans="1:4" x14ac:dyDescent="0.25">
      <c r="A12" s="346" t="s">
        <v>96</v>
      </c>
      <c r="B12" s="346" t="s">
        <v>37</v>
      </c>
      <c r="C12" s="343">
        <v>19420908.440000001</v>
      </c>
      <c r="D12" s="343">
        <v>37902341.960000001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719292905.13</v>
      </c>
      <c r="D14" s="561">
        <f>SUM(D9:D13)</f>
        <v>1403790441.1300001</v>
      </c>
    </row>
    <row r="16" spans="1:4" x14ac:dyDescent="0.25">
      <c r="A16" s="346" t="s">
        <v>99</v>
      </c>
      <c r="B16" s="346" t="s">
        <v>100</v>
      </c>
      <c r="C16" s="343">
        <v>210341.2</v>
      </c>
      <c r="D16" s="343">
        <v>432606.03</v>
      </c>
    </row>
    <row r="17" spans="1:4" x14ac:dyDescent="0.25">
      <c r="A17" s="346" t="s">
        <v>101</v>
      </c>
      <c r="B17" s="346" t="s">
        <v>102</v>
      </c>
      <c r="C17" s="343">
        <v>400018.59</v>
      </c>
      <c r="D17" s="343">
        <v>822711.27</v>
      </c>
    </row>
    <row r="18" spans="1:4" x14ac:dyDescent="0.25">
      <c r="A18" s="346" t="s">
        <v>103</v>
      </c>
      <c r="B18" s="346" t="s">
        <v>104</v>
      </c>
      <c r="C18" s="343">
        <v>220868.65</v>
      </c>
      <c r="D18" s="343">
        <v>452519.02</v>
      </c>
    </row>
    <row r="19" spans="1:4" x14ac:dyDescent="0.25">
      <c r="A19" s="346" t="s">
        <v>105</v>
      </c>
      <c r="B19" s="346" t="s">
        <v>106</v>
      </c>
      <c r="C19" s="343">
        <v>20698.13</v>
      </c>
      <c r="D19" s="343">
        <v>42283.27</v>
      </c>
    </row>
    <row r="20" spans="1:4" x14ac:dyDescent="0.25">
      <c r="A20" s="559" t="s">
        <v>107</v>
      </c>
      <c r="B20" s="560"/>
      <c r="C20" s="561">
        <f>SUM(C16:C19)</f>
        <v>851926.57000000007</v>
      </c>
      <c r="D20" s="561">
        <f>SUM(D16:D19)</f>
        <v>1750119.59</v>
      </c>
    </row>
    <row r="22" spans="1:4" x14ac:dyDescent="0.25">
      <c r="A22" s="346" t="s">
        <v>108</v>
      </c>
      <c r="B22" s="346" t="s">
        <v>109</v>
      </c>
      <c r="C22" s="343">
        <v>70140.5</v>
      </c>
      <c r="D22" s="343">
        <v>138234.42000000001</v>
      </c>
    </row>
    <row r="23" spans="1:4" x14ac:dyDescent="0.25">
      <c r="A23" s="346" t="s">
        <v>110</v>
      </c>
      <c r="B23" s="346" t="s">
        <v>111</v>
      </c>
      <c r="C23" s="343">
        <v>133581.07</v>
      </c>
      <c r="D23" s="343">
        <v>263264.48</v>
      </c>
    </row>
    <row r="24" spans="1:4" x14ac:dyDescent="0.25">
      <c r="A24" s="346" t="s">
        <v>112</v>
      </c>
      <c r="B24" s="346" t="s">
        <v>113</v>
      </c>
      <c r="C24" s="343">
        <v>48950.36</v>
      </c>
      <c r="D24" s="343">
        <v>96472.33</v>
      </c>
    </row>
    <row r="25" spans="1:4" x14ac:dyDescent="0.25">
      <c r="A25" s="346" t="s">
        <v>114</v>
      </c>
      <c r="B25" s="346" t="s">
        <v>115</v>
      </c>
      <c r="C25" s="343">
        <v>7011.47</v>
      </c>
      <c r="D25" s="343">
        <v>13818.4</v>
      </c>
    </row>
    <row r="26" spans="1:4" x14ac:dyDescent="0.25">
      <c r="A26" s="559" t="s">
        <v>116</v>
      </c>
      <c r="B26" s="560"/>
      <c r="C26" s="561">
        <f>SUM(C22:C25)</f>
        <v>259683.4</v>
      </c>
      <c r="D26" s="561">
        <f>SUM(D22:D25)</f>
        <v>511789.63000000006</v>
      </c>
    </row>
    <row r="28" spans="1:4" x14ac:dyDescent="0.25">
      <c r="A28" s="346" t="s">
        <v>117</v>
      </c>
      <c r="B28" s="346" t="s">
        <v>118</v>
      </c>
      <c r="C28" s="343">
        <v>270.10000000000002</v>
      </c>
      <c r="D28" s="343">
        <v>270.10000000000002</v>
      </c>
    </row>
    <row r="29" spans="1:4" x14ac:dyDescent="0.25">
      <c r="A29" s="346" t="s">
        <v>119</v>
      </c>
      <c r="B29" s="346" t="s">
        <v>120</v>
      </c>
      <c r="C29" s="343">
        <v>514.4</v>
      </c>
      <c r="D29" s="343">
        <v>514.4</v>
      </c>
    </row>
    <row r="30" spans="1:4" x14ac:dyDescent="0.25">
      <c r="A30" s="346" t="s">
        <v>121</v>
      </c>
      <c r="B30" s="346" t="s">
        <v>122</v>
      </c>
      <c r="C30" s="343">
        <v>188.5</v>
      </c>
      <c r="D30" s="343">
        <v>188.5</v>
      </c>
    </row>
    <row r="31" spans="1:4" x14ac:dyDescent="0.25">
      <c r="A31" s="346" t="s">
        <v>123</v>
      </c>
      <c r="B31" s="346" t="s">
        <v>124</v>
      </c>
      <c r="C31" s="343">
        <v>27</v>
      </c>
      <c r="D31" s="343">
        <v>27</v>
      </c>
    </row>
    <row r="32" spans="1:4" x14ac:dyDescent="0.25">
      <c r="A32" s="559" t="s">
        <v>125</v>
      </c>
      <c r="B32" s="560"/>
      <c r="C32" s="561">
        <f>SUM(C28:C31)</f>
        <v>1000</v>
      </c>
      <c r="D32" s="561">
        <f>SUM(D28:D31)</f>
        <v>1000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158.21</v>
      </c>
      <c r="D40" s="343">
        <v>67148.83</v>
      </c>
    </row>
    <row r="41" spans="1:4" x14ac:dyDescent="0.25">
      <c r="A41" s="346" t="s">
        <v>128</v>
      </c>
      <c r="B41" s="346" t="s">
        <v>348</v>
      </c>
      <c r="C41" s="343">
        <v>301.32</v>
      </c>
      <c r="D41" s="343">
        <v>127888.65</v>
      </c>
    </row>
    <row r="42" spans="1:4" x14ac:dyDescent="0.25">
      <c r="A42" s="346" t="s">
        <v>130</v>
      </c>
      <c r="B42" s="346" t="s">
        <v>349</v>
      </c>
      <c r="C42" s="343">
        <v>110.41</v>
      </c>
      <c r="D42" s="343">
        <v>46736.19</v>
      </c>
    </row>
    <row r="43" spans="1:4" x14ac:dyDescent="0.25">
      <c r="A43" s="346" t="s">
        <v>132</v>
      </c>
      <c r="B43" s="346" t="s">
        <v>350</v>
      </c>
      <c r="C43" s="343">
        <v>15.81</v>
      </c>
      <c r="D43" s="343">
        <v>6710.18</v>
      </c>
    </row>
    <row r="44" spans="1:4" x14ac:dyDescent="0.25">
      <c r="A44" s="559" t="s">
        <v>134</v>
      </c>
      <c r="B44" s="560"/>
      <c r="C44" s="561">
        <f>SUM(C40:C43)</f>
        <v>585.74999999999989</v>
      </c>
      <c r="D44" s="561">
        <f>SUM(D40:D43)</f>
        <v>248483.84999999998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-418965.25</v>
      </c>
      <c r="D47" s="343">
        <v>11095464.49</v>
      </c>
    </row>
    <row r="48" spans="1:4" x14ac:dyDescent="0.25">
      <c r="A48" s="346" t="s">
        <v>330</v>
      </c>
      <c r="B48" s="346" t="s">
        <v>331</v>
      </c>
      <c r="C48" s="343">
        <v>5487070</v>
      </c>
      <c r="D48" s="343">
        <v>5808995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5068104.75</v>
      </c>
      <c r="D50" s="561">
        <f>SUM(D46:D49)</f>
        <v>16904459.490000002</v>
      </c>
    </row>
    <row r="52" spans="1:4" x14ac:dyDescent="0.25">
      <c r="A52" s="346" t="s">
        <v>135</v>
      </c>
      <c r="B52" s="346" t="s">
        <v>385</v>
      </c>
      <c r="C52" s="343">
        <v>-148172848.25999999</v>
      </c>
      <c r="D52" s="343">
        <v>-440218366.91000003</v>
      </c>
    </row>
    <row r="53" spans="1:4" x14ac:dyDescent="0.25">
      <c r="A53" s="346" t="s">
        <v>137</v>
      </c>
      <c r="B53" s="346" t="s">
        <v>386</v>
      </c>
      <c r="C53" s="343">
        <v>-350847496.32999998</v>
      </c>
      <c r="D53" s="343">
        <v>-659596516.40999997</v>
      </c>
    </row>
    <row r="54" spans="1:4" x14ac:dyDescent="0.25">
      <c r="A54" s="346" t="s">
        <v>139</v>
      </c>
      <c r="B54" s="346" t="s">
        <v>387</v>
      </c>
      <c r="C54" s="343">
        <v>-149085548.99000001</v>
      </c>
      <c r="D54" s="343">
        <v>-302366761.50999999</v>
      </c>
    </row>
    <row r="55" spans="1:4" x14ac:dyDescent="0.25">
      <c r="A55" s="346" t="s">
        <v>141</v>
      </c>
      <c r="B55" s="346" t="s">
        <v>388</v>
      </c>
      <c r="C55" s="343">
        <v>-10722715.41</v>
      </c>
      <c r="D55" s="343">
        <v>-21879870.27</v>
      </c>
    </row>
    <row r="56" spans="1:4" x14ac:dyDescent="0.25">
      <c r="A56" s="559" t="s">
        <v>143</v>
      </c>
      <c r="B56" s="560"/>
      <c r="C56" s="561">
        <f>SUM(C52:C55)</f>
        <v>-658828608.98999989</v>
      </c>
      <c r="D56" s="561">
        <f>SUM(D52:D55)</f>
        <v>-1424061515.0999999</v>
      </c>
    </row>
    <row r="58" spans="1:4" x14ac:dyDescent="0.25">
      <c r="A58" s="346" t="s">
        <v>351</v>
      </c>
      <c r="B58" s="346" t="s">
        <v>352</v>
      </c>
      <c r="C58" s="343">
        <v>-1019239.69</v>
      </c>
      <c r="D58" s="343">
        <v>-658830.01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-1019239.69</v>
      </c>
      <c r="D60" s="343">
        <f>SUM(D58:D59)</f>
        <v>-658830.01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-4827694.4400000004</v>
      </c>
      <c r="D72" s="343">
        <v>-10590502.359999999</v>
      </c>
    </row>
    <row r="73" spans="1:4" x14ac:dyDescent="0.25">
      <c r="A73" s="346" t="s">
        <v>152</v>
      </c>
      <c r="B73" s="346" t="s">
        <v>41</v>
      </c>
      <c r="C73" s="343">
        <v>-1372884.65</v>
      </c>
      <c r="D73" s="343">
        <v>-3313626.37</v>
      </c>
    </row>
    <row r="74" spans="1:4" x14ac:dyDescent="0.25">
      <c r="A74" s="346" t="s">
        <v>153</v>
      </c>
      <c r="B74" s="346" t="s">
        <v>42</v>
      </c>
      <c r="C74" s="343">
        <v>-716157.78</v>
      </c>
      <c r="D74" s="343">
        <v>-1679912.41</v>
      </c>
    </row>
    <row r="75" spans="1:4" x14ac:dyDescent="0.25">
      <c r="A75" s="346" t="s">
        <v>154</v>
      </c>
      <c r="B75" s="346" t="s">
        <v>43</v>
      </c>
      <c r="C75" s="343">
        <v>-990113.99</v>
      </c>
      <c r="D75" s="343">
        <v>-2212456.14</v>
      </c>
    </row>
    <row r="76" spans="1:4" x14ac:dyDescent="0.25">
      <c r="A76" s="559" t="s">
        <v>155</v>
      </c>
      <c r="B76" s="560"/>
      <c r="C76" s="561">
        <f>SUM(C72:C75)</f>
        <v>-7906850.8600000003</v>
      </c>
      <c r="D76" s="561">
        <f>SUM(D72:D75)</f>
        <v>-17796497.280000001</v>
      </c>
    </row>
    <row r="78" spans="1:4" x14ac:dyDescent="0.25">
      <c r="A78" s="346" t="s">
        <v>156</v>
      </c>
      <c r="B78" s="346" t="s">
        <v>394</v>
      </c>
      <c r="C78" s="343">
        <v>1365212.84</v>
      </c>
      <c r="D78" s="343">
        <v>2702467.85</v>
      </c>
    </row>
    <row r="79" spans="1:4" x14ac:dyDescent="0.25">
      <c r="A79" s="346" t="s">
        <v>158</v>
      </c>
      <c r="B79" s="346" t="s">
        <v>395</v>
      </c>
      <c r="C79" s="343">
        <v>373887.72</v>
      </c>
      <c r="D79" s="343">
        <v>740118.7</v>
      </c>
    </row>
    <row r="80" spans="1:4" x14ac:dyDescent="0.25">
      <c r="A80" s="346" t="s">
        <v>160</v>
      </c>
      <c r="B80" s="346" t="s">
        <v>396</v>
      </c>
      <c r="C80" s="343">
        <v>69966.149999999994</v>
      </c>
      <c r="D80" s="343">
        <v>138499.47</v>
      </c>
    </row>
    <row r="81" spans="1:4" x14ac:dyDescent="0.25">
      <c r="A81" s="346" t="s">
        <v>162</v>
      </c>
      <c r="B81" s="346" t="s">
        <v>397</v>
      </c>
      <c r="C81" s="343">
        <v>91316.160000000003</v>
      </c>
      <c r="D81" s="343">
        <v>180762.29</v>
      </c>
    </row>
    <row r="82" spans="1:4" x14ac:dyDescent="0.25">
      <c r="A82" s="559" t="s">
        <v>164</v>
      </c>
      <c r="B82" s="560"/>
      <c r="C82" s="561">
        <f>SUM(C78:C81)</f>
        <v>1900382.8699999999</v>
      </c>
      <c r="D82" s="561">
        <f>SUM(D78:D81)</f>
        <v>3761848.31</v>
      </c>
    </row>
    <row r="84" spans="1:4" x14ac:dyDescent="0.25">
      <c r="A84" s="559" t="s">
        <v>31</v>
      </c>
      <c r="B84" s="560"/>
      <c r="C84" s="561">
        <f>C14+C20+C26+C32+C44+C56+C62+C70+C76+C82+C50+C38+C60</f>
        <v>59619888.930000134</v>
      </c>
      <c r="D84" s="561">
        <f>D14+D20+D26+D32+D44+D56+D62+D70+D76+D82+D50+D38+D60</f>
        <v>-15548700.389999857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6" workbookViewId="0">
      <selection activeCell="D43" sqref="D43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406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407</v>
      </c>
      <c r="C5" s="342"/>
      <c r="D5" s="342"/>
    </row>
    <row r="7" spans="1:4" x14ac:dyDescent="0.25">
      <c r="B7" s="344" t="s">
        <v>30</v>
      </c>
      <c r="C7" s="345" t="s">
        <v>91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193639285.27000001</v>
      </c>
      <c r="D9" s="347">
        <v>572803084.27999997</v>
      </c>
    </row>
    <row r="10" spans="1:4" x14ac:dyDescent="0.25">
      <c r="A10" s="346" t="s">
        <v>94</v>
      </c>
      <c r="B10" s="346" t="s">
        <v>35</v>
      </c>
      <c r="C10" s="343">
        <v>368782110.56999999</v>
      </c>
      <c r="D10" s="343">
        <v>1090891913.0899999</v>
      </c>
    </row>
    <row r="11" spans="1:4" x14ac:dyDescent="0.25">
      <c r="A11" s="346" t="s">
        <v>95</v>
      </c>
      <c r="B11" s="346" t="s">
        <v>36</v>
      </c>
      <c r="C11" s="343">
        <v>135138856.41999999</v>
      </c>
      <c r="D11" s="343">
        <v>399753354.06</v>
      </c>
    </row>
    <row r="12" spans="1:4" x14ac:dyDescent="0.25">
      <c r="A12" s="346" t="s">
        <v>96</v>
      </c>
      <c r="B12" s="346" t="s">
        <v>37</v>
      </c>
      <c r="C12" s="343">
        <v>19356759.300000001</v>
      </c>
      <c r="D12" s="343">
        <v>57259101.259999998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716917011.55999994</v>
      </c>
      <c r="D14" s="561">
        <f>SUM(D9:D13)</f>
        <v>2120707452.6899998</v>
      </c>
    </row>
    <row r="16" spans="1:4" x14ac:dyDescent="0.25">
      <c r="A16" s="346" t="s">
        <v>99</v>
      </c>
      <c r="B16" s="346" t="s">
        <v>100</v>
      </c>
      <c r="C16" s="343">
        <v>225093.33</v>
      </c>
      <c r="D16" s="343">
        <v>657699.36</v>
      </c>
    </row>
    <row r="17" spans="1:4" x14ac:dyDescent="0.25">
      <c r="A17" s="346" t="s">
        <v>101</v>
      </c>
      <c r="B17" s="346" t="s">
        <v>102</v>
      </c>
      <c r="C17" s="343">
        <v>428631.79</v>
      </c>
      <c r="D17" s="343">
        <v>1251343.06</v>
      </c>
    </row>
    <row r="18" spans="1:4" x14ac:dyDescent="0.25">
      <c r="A18" s="346" t="s">
        <v>103</v>
      </c>
      <c r="B18" s="346" t="s">
        <v>104</v>
      </c>
      <c r="C18" s="343">
        <v>234473.3</v>
      </c>
      <c r="D18" s="343">
        <v>686992.32</v>
      </c>
    </row>
    <row r="19" spans="1:4" x14ac:dyDescent="0.25">
      <c r="A19" s="346" t="s">
        <v>105</v>
      </c>
      <c r="B19" s="346" t="s">
        <v>106</v>
      </c>
      <c r="C19" s="343">
        <v>21879.93</v>
      </c>
      <c r="D19" s="343">
        <v>64163.199999999997</v>
      </c>
    </row>
    <row r="20" spans="1:4" x14ac:dyDescent="0.25">
      <c r="A20" s="559" t="s">
        <v>107</v>
      </c>
      <c r="B20" s="560"/>
      <c r="C20" s="561">
        <f>SUM(C16:C19)</f>
        <v>910078.35</v>
      </c>
      <c r="D20" s="561">
        <f>SUM(D16:D19)</f>
        <v>2660197.94</v>
      </c>
    </row>
    <row r="22" spans="1:4" x14ac:dyDescent="0.25">
      <c r="A22" s="346" t="s">
        <v>108</v>
      </c>
      <c r="B22" s="346" t="s">
        <v>109</v>
      </c>
      <c r="C22" s="343">
        <v>80170.47</v>
      </c>
      <c r="D22" s="343">
        <v>218404.89</v>
      </c>
    </row>
    <row r="23" spans="1:4" x14ac:dyDescent="0.25">
      <c r="A23" s="346" t="s">
        <v>110</v>
      </c>
      <c r="B23" s="346" t="s">
        <v>111</v>
      </c>
      <c r="C23" s="343">
        <v>152683.07999999999</v>
      </c>
      <c r="D23" s="343">
        <v>415947.56</v>
      </c>
    </row>
    <row r="24" spans="1:4" x14ac:dyDescent="0.25">
      <c r="A24" s="346" t="s">
        <v>112</v>
      </c>
      <c r="B24" s="346" t="s">
        <v>113</v>
      </c>
      <c r="C24" s="343">
        <v>55950.17</v>
      </c>
      <c r="D24" s="343">
        <v>152422.5</v>
      </c>
    </row>
    <row r="25" spans="1:4" x14ac:dyDescent="0.25">
      <c r="A25" s="346" t="s">
        <v>114</v>
      </c>
      <c r="B25" s="346" t="s">
        <v>115</v>
      </c>
      <c r="C25" s="343">
        <v>8014.1</v>
      </c>
      <c r="D25" s="343">
        <v>21832.5</v>
      </c>
    </row>
    <row r="26" spans="1:4" x14ac:dyDescent="0.25">
      <c r="A26" s="559" t="s">
        <v>116</v>
      </c>
      <c r="B26" s="560"/>
      <c r="C26" s="561">
        <f>SUM(C22:C25)</f>
        <v>296817.81999999995</v>
      </c>
      <c r="D26" s="561">
        <f>SUM(D22:D25)</f>
        <v>808607.45</v>
      </c>
    </row>
    <row r="28" spans="1:4" x14ac:dyDescent="0.25">
      <c r="A28" s="346" t="s">
        <v>117</v>
      </c>
      <c r="B28" s="346" t="s">
        <v>118</v>
      </c>
      <c r="C28" s="343">
        <v>270.10000000000002</v>
      </c>
      <c r="D28" s="343">
        <v>540.20000000000005</v>
      </c>
    </row>
    <row r="29" spans="1:4" x14ac:dyDescent="0.25">
      <c r="A29" s="346" t="s">
        <v>119</v>
      </c>
      <c r="B29" s="346" t="s">
        <v>120</v>
      </c>
      <c r="C29" s="343">
        <v>514.4</v>
      </c>
      <c r="D29" s="343">
        <v>1028.8</v>
      </c>
    </row>
    <row r="30" spans="1:4" x14ac:dyDescent="0.25">
      <c r="A30" s="346" t="s">
        <v>121</v>
      </c>
      <c r="B30" s="346" t="s">
        <v>122</v>
      </c>
      <c r="C30" s="343">
        <v>188.5</v>
      </c>
      <c r="D30" s="343">
        <v>377</v>
      </c>
    </row>
    <row r="31" spans="1:4" x14ac:dyDescent="0.25">
      <c r="A31" s="346" t="s">
        <v>123</v>
      </c>
      <c r="B31" s="346" t="s">
        <v>124</v>
      </c>
      <c r="C31" s="343">
        <v>27</v>
      </c>
      <c r="D31" s="343">
        <v>54</v>
      </c>
    </row>
    <row r="32" spans="1:4" x14ac:dyDescent="0.25">
      <c r="A32" s="559" t="s">
        <v>125</v>
      </c>
      <c r="B32" s="560"/>
      <c r="C32" s="561">
        <f>SUM(C28:C31)</f>
        <v>1000</v>
      </c>
      <c r="D32" s="561">
        <f>SUM(D28:D31)</f>
        <v>2000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13495384.92</v>
      </c>
      <c r="D40" s="343">
        <v>13562533.75</v>
      </c>
    </row>
    <row r="41" spans="1:4" x14ac:dyDescent="0.25">
      <c r="A41" s="346" t="s">
        <v>128</v>
      </c>
      <c r="B41" s="346" t="s">
        <v>348</v>
      </c>
      <c r="C41" s="343">
        <v>25701688.25</v>
      </c>
      <c r="D41" s="343">
        <v>25829576.899999999</v>
      </c>
    </row>
    <row r="42" spans="1:4" x14ac:dyDescent="0.25">
      <c r="A42" s="346" t="s">
        <v>130</v>
      </c>
      <c r="B42" s="346" t="s">
        <v>349</v>
      </c>
      <c r="C42" s="343">
        <v>9190459.0399999991</v>
      </c>
      <c r="D42" s="343">
        <v>9237195.2300000004</v>
      </c>
    </row>
    <row r="43" spans="1:4" x14ac:dyDescent="0.25">
      <c r="A43" s="346" t="s">
        <v>132</v>
      </c>
      <c r="B43" s="346" t="s">
        <v>350</v>
      </c>
      <c r="C43" s="343">
        <v>1349038.84</v>
      </c>
      <c r="D43" s="343">
        <v>1355749.02</v>
      </c>
    </row>
    <row r="44" spans="1:4" x14ac:dyDescent="0.25">
      <c r="A44" s="559" t="s">
        <v>134</v>
      </c>
      <c r="B44" s="560"/>
      <c r="C44" s="561">
        <f>SUM(C40:C43)</f>
        <v>49736571.050000004</v>
      </c>
      <c r="D44" s="561">
        <f>SUM(D40:D43)</f>
        <v>49985054.899999999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288838023.25</v>
      </c>
      <c r="D47" s="343">
        <v>299933487.74000001</v>
      </c>
    </row>
    <row r="48" spans="1:4" x14ac:dyDescent="0.25">
      <c r="A48" s="346" t="s">
        <v>330</v>
      </c>
      <c r="B48" s="346" t="s">
        <v>331</v>
      </c>
      <c r="C48" s="343">
        <v>-28919095</v>
      </c>
      <c r="D48" s="343">
        <v>-23110100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259918928.25</v>
      </c>
      <c r="D50" s="561">
        <f>SUM(D46:D49)</f>
        <v>276823387.74000001</v>
      </c>
    </row>
    <row r="52" spans="1:4" x14ac:dyDescent="0.25">
      <c r="A52" s="346" t="s">
        <v>135</v>
      </c>
      <c r="B52" s="346" t="s">
        <v>385</v>
      </c>
      <c r="C52" s="343">
        <v>-179256769.03999999</v>
      </c>
      <c r="D52" s="343">
        <v>-619475135.95000005</v>
      </c>
    </row>
    <row r="53" spans="1:4" x14ac:dyDescent="0.25">
      <c r="A53" s="346" t="s">
        <v>137</v>
      </c>
      <c r="B53" s="346" t="s">
        <v>386</v>
      </c>
      <c r="C53" s="343">
        <v>-571029273.72000003</v>
      </c>
      <c r="D53" s="343">
        <v>-1230625790.1300001</v>
      </c>
    </row>
    <row r="54" spans="1:4" x14ac:dyDescent="0.25">
      <c r="A54" s="346" t="s">
        <v>139</v>
      </c>
      <c r="B54" s="346" t="s">
        <v>387</v>
      </c>
      <c r="C54" s="343">
        <v>-129401031.59</v>
      </c>
      <c r="D54" s="343">
        <v>-431767793.10000002</v>
      </c>
    </row>
    <row r="55" spans="1:4" x14ac:dyDescent="0.25">
      <c r="A55" s="346" t="s">
        <v>141</v>
      </c>
      <c r="B55" s="346" t="s">
        <v>388</v>
      </c>
      <c r="C55" s="343">
        <v>-15665074.890000001</v>
      </c>
      <c r="D55" s="343">
        <v>-37544945.159999996</v>
      </c>
    </row>
    <row r="56" spans="1:4" x14ac:dyDescent="0.25">
      <c r="A56" s="559" t="s">
        <v>143</v>
      </c>
      <c r="B56" s="560"/>
      <c r="C56" s="561">
        <f>SUM(C52:C55)</f>
        <v>-895352149.24000001</v>
      </c>
      <c r="D56" s="561">
        <f>SUM(D52:D55)</f>
        <v>-2319413664.3400002</v>
      </c>
    </row>
    <row r="58" spans="1:4" x14ac:dyDescent="0.25">
      <c r="A58" s="346" t="s">
        <v>351</v>
      </c>
      <c r="B58" s="346" t="s">
        <v>352</v>
      </c>
      <c r="C58" s="343">
        <v>-1135720.5</v>
      </c>
      <c r="D58" s="343">
        <v>-1794550.51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-1135720.5</v>
      </c>
      <c r="D60" s="343">
        <f>SUM(D58:D59)</f>
        <v>-1794550.51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-4438918.6500000004</v>
      </c>
      <c r="D72" s="343">
        <v>-15029421.01</v>
      </c>
    </row>
    <row r="73" spans="1:4" x14ac:dyDescent="0.25">
      <c r="A73" s="346" t="s">
        <v>152</v>
      </c>
      <c r="B73" s="346" t="s">
        <v>41</v>
      </c>
      <c r="C73" s="343">
        <v>-1190321.33</v>
      </c>
      <c r="D73" s="343">
        <v>-4503947.7</v>
      </c>
    </row>
    <row r="74" spans="1:4" x14ac:dyDescent="0.25">
      <c r="A74" s="346" t="s">
        <v>153</v>
      </c>
      <c r="B74" s="346" t="s">
        <v>42</v>
      </c>
      <c r="C74" s="343">
        <v>-536260.35</v>
      </c>
      <c r="D74" s="343">
        <v>-2216172.7599999998</v>
      </c>
    </row>
    <row r="75" spans="1:4" x14ac:dyDescent="0.25">
      <c r="A75" s="346" t="s">
        <v>154</v>
      </c>
      <c r="B75" s="346" t="s">
        <v>43</v>
      </c>
      <c r="C75" s="343">
        <v>-965697.53</v>
      </c>
      <c r="D75" s="343">
        <v>-3178153.67</v>
      </c>
    </row>
    <row r="76" spans="1:4" x14ac:dyDescent="0.25">
      <c r="A76" s="559" t="s">
        <v>155</v>
      </c>
      <c r="B76" s="560"/>
      <c r="C76" s="561">
        <f>SUM(C72:C75)</f>
        <v>-7131197.8600000003</v>
      </c>
      <c r="D76" s="561">
        <f>SUM(D72:D75)</f>
        <v>-24927695.140000001</v>
      </c>
    </row>
    <row r="78" spans="1:4" x14ac:dyDescent="0.25">
      <c r="A78" s="346" t="s">
        <v>156</v>
      </c>
      <c r="B78" s="346" t="s">
        <v>394</v>
      </c>
      <c r="C78" s="343">
        <v>1430336.99</v>
      </c>
      <c r="D78" s="343">
        <v>4132804.84</v>
      </c>
    </row>
    <row r="79" spans="1:4" x14ac:dyDescent="0.25">
      <c r="A79" s="346" t="s">
        <v>158</v>
      </c>
      <c r="B79" s="346" t="s">
        <v>395</v>
      </c>
      <c r="C79" s="343">
        <v>391723.13</v>
      </c>
      <c r="D79" s="343">
        <v>1131841.83</v>
      </c>
    </row>
    <row r="80" spans="1:4" x14ac:dyDescent="0.25">
      <c r="A80" s="346" t="s">
        <v>160</v>
      </c>
      <c r="B80" s="346" t="s">
        <v>396</v>
      </c>
      <c r="C80" s="343">
        <v>73303.710000000006</v>
      </c>
      <c r="D80" s="343">
        <v>211803.18</v>
      </c>
    </row>
    <row r="81" spans="1:4" x14ac:dyDescent="0.25">
      <c r="A81" s="346" t="s">
        <v>162</v>
      </c>
      <c r="B81" s="346" t="s">
        <v>397</v>
      </c>
      <c r="C81" s="343">
        <v>95672.18</v>
      </c>
      <c r="D81" s="343">
        <v>276434.46999999997</v>
      </c>
    </row>
    <row r="82" spans="1:4" x14ac:dyDescent="0.25">
      <c r="A82" s="559" t="s">
        <v>164</v>
      </c>
      <c r="B82" s="560"/>
      <c r="C82" s="561">
        <f>SUM(C78:C81)</f>
        <v>1991036.01</v>
      </c>
      <c r="D82" s="561">
        <f>SUM(D78:D81)</f>
        <v>5752884.3199999994</v>
      </c>
    </row>
    <row r="84" spans="1:4" x14ac:dyDescent="0.25">
      <c r="A84" s="559" t="s">
        <v>31</v>
      </c>
      <c r="B84" s="560"/>
      <c r="C84" s="561">
        <f>C14+C20+C26+C32+C44+C56+C62+C70+C76+C82+C50+C38+C60</f>
        <v>126152375.43999995</v>
      </c>
      <c r="D84" s="561">
        <f>D14+D20+D26+D32+D44+D56+D62+D70+D76+D82+D50+D38+D60</f>
        <v>110603675.04999988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D45" sqref="D45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366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367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196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1979986019.25</v>
      </c>
      <c r="D9" s="500">
        <v>190560530.91999999</v>
      </c>
      <c r="E9" s="500">
        <v>2170546550.1700001</v>
      </c>
    </row>
    <row r="10" spans="1:5" x14ac:dyDescent="0.25">
      <c r="A10" s="499" t="s">
        <v>94</v>
      </c>
      <c r="B10" s="499" t="s">
        <v>35</v>
      </c>
      <c r="C10" s="501">
        <v>3809624716.8400002</v>
      </c>
      <c r="D10" s="501">
        <v>384700046.25999999</v>
      </c>
      <c r="E10" s="501">
        <v>4194324763.0999999</v>
      </c>
    </row>
    <row r="11" spans="1:5" x14ac:dyDescent="0.25">
      <c r="A11" s="499" t="s">
        <v>95</v>
      </c>
      <c r="B11" s="499" t="s">
        <v>36</v>
      </c>
      <c r="C11" s="501">
        <v>1984831438.24</v>
      </c>
      <c r="D11" s="501">
        <v>167728349.5</v>
      </c>
      <c r="E11" s="501">
        <v>2152559787.7399998</v>
      </c>
    </row>
    <row r="12" spans="1:5" x14ac:dyDescent="0.25">
      <c r="A12" s="499" t="s">
        <v>96</v>
      </c>
      <c r="B12" s="499" t="s">
        <v>37</v>
      </c>
      <c r="C12" s="501">
        <v>94996878.459999993</v>
      </c>
      <c r="D12" s="501">
        <v>10434095.09</v>
      </c>
      <c r="E12" s="501">
        <v>105430973.55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7869439052.79</v>
      </c>
      <c r="D14" s="504">
        <f>SUM(D9:D13)</f>
        <v>753423021.76999998</v>
      </c>
      <c r="E14" s="504">
        <f>SUM(E9:E13)</f>
        <v>8622862074.5599995</v>
      </c>
    </row>
    <row r="16" spans="1:5" x14ac:dyDescent="0.25">
      <c r="A16" s="499" t="s">
        <v>99</v>
      </c>
      <c r="B16" s="499" t="s">
        <v>100</v>
      </c>
      <c r="C16" s="501">
        <v>1176996</v>
      </c>
      <c r="D16" s="501">
        <v>136362.88</v>
      </c>
      <c r="E16" s="501">
        <v>1313358.8799999999</v>
      </c>
    </row>
    <row r="17" spans="1:5" x14ac:dyDescent="0.25">
      <c r="A17" s="499" t="s">
        <v>101</v>
      </c>
      <c r="B17" s="499" t="s">
        <v>102</v>
      </c>
      <c r="C17" s="501">
        <v>2255072.5099999998</v>
      </c>
      <c r="D17" s="501">
        <v>275651.76</v>
      </c>
      <c r="E17" s="501">
        <v>2530724.27</v>
      </c>
    </row>
    <row r="18" spans="1:5" x14ac:dyDescent="0.25">
      <c r="A18" s="499" t="s">
        <v>103</v>
      </c>
      <c r="B18" s="499" t="s">
        <v>104</v>
      </c>
      <c r="C18" s="501">
        <v>1830221.4</v>
      </c>
      <c r="D18" s="501">
        <v>180286.54</v>
      </c>
      <c r="E18" s="501">
        <v>2010507.94</v>
      </c>
    </row>
    <row r="19" spans="1:5" x14ac:dyDescent="0.25">
      <c r="A19" s="499" t="s">
        <v>105</v>
      </c>
      <c r="B19" s="499" t="s">
        <v>106</v>
      </c>
      <c r="C19" s="501">
        <v>53780.88</v>
      </c>
      <c r="D19" s="501">
        <v>7123.28</v>
      </c>
      <c r="E19" s="501">
        <v>60904.160000000003</v>
      </c>
    </row>
    <row r="20" spans="1:5" x14ac:dyDescent="0.25">
      <c r="A20" s="502" t="s">
        <v>107</v>
      </c>
      <c r="B20" s="503"/>
      <c r="C20" s="504">
        <f>SUM(C16:C19)</f>
        <v>5316070.79</v>
      </c>
      <c r="D20" s="504">
        <f>SUM(D16:D19)</f>
        <v>599424.46000000008</v>
      </c>
      <c r="E20" s="504">
        <f>SUM(E16:E19)</f>
        <v>5915495.25</v>
      </c>
    </row>
    <row r="22" spans="1:5" x14ac:dyDescent="0.25">
      <c r="A22" s="499" t="s">
        <v>108</v>
      </c>
      <c r="B22" s="499" t="s">
        <v>109</v>
      </c>
      <c r="C22" s="501">
        <v>191381.97</v>
      </c>
      <c r="D22" s="501">
        <v>65780.36</v>
      </c>
      <c r="E22" s="501">
        <v>257162.33</v>
      </c>
    </row>
    <row r="23" spans="1:5" x14ac:dyDescent="0.25">
      <c r="A23" s="499" t="s">
        <v>110</v>
      </c>
      <c r="B23" s="499" t="s">
        <v>111</v>
      </c>
      <c r="C23" s="501">
        <v>379746.77</v>
      </c>
      <c r="D23" s="501">
        <v>132757.64000000001</v>
      </c>
      <c r="E23" s="501">
        <v>512504.41</v>
      </c>
    </row>
    <row r="24" spans="1:5" x14ac:dyDescent="0.25">
      <c r="A24" s="499" t="s">
        <v>112</v>
      </c>
      <c r="B24" s="499" t="s">
        <v>113</v>
      </c>
      <c r="C24" s="501">
        <v>199376.73</v>
      </c>
      <c r="D24" s="501">
        <v>58078.22</v>
      </c>
      <c r="E24" s="501">
        <v>257454.95</v>
      </c>
    </row>
    <row r="25" spans="1:5" x14ac:dyDescent="0.25">
      <c r="A25" s="499" t="s">
        <v>114</v>
      </c>
      <c r="B25" s="499" t="s">
        <v>115</v>
      </c>
      <c r="C25" s="501">
        <v>13616.43</v>
      </c>
      <c r="D25" s="501">
        <v>3590.76</v>
      </c>
      <c r="E25" s="501">
        <v>17207.189999999999</v>
      </c>
    </row>
    <row r="26" spans="1:5" x14ac:dyDescent="0.25">
      <c r="A26" s="502" t="s">
        <v>116</v>
      </c>
      <c r="B26" s="503"/>
      <c r="C26" s="504">
        <f>SUM(C22:C25)</f>
        <v>784121.9</v>
      </c>
      <c r="D26" s="504">
        <f>SUM(D22:D25)</f>
        <v>260206.98</v>
      </c>
      <c r="E26" s="504">
        <f>SUM(E22:E25)</f>
        <v>1044328.8799999999</v>
      </c>
    </row>
    <row r="28" spans="1:5" x14ac:dyDescent="0.25">
      <c r="A28" s="499" t="s">
        <v>117</v>
      </c>
      <c r="B28" s="499" t="s">
        <v>118</v>
      </c>
      <c r="C28" s="501">
        <v>1272.4000000000001</v>
      </c>
      <c r="D28" s="501">
        <v>0</v>
      </c>
      <c r="E28" s="501">
        <v>1272.4000000000001</v>
      </c>
    </row>
    <row r="29" spans="1:5" x14ac:dyDescent="0.25">
      <c r="A29" s="499" t="s">
        <v>119</v>
      </c>
      <c r="B29" s="499" t="s">
        <v>120</v>
      </c>
      <c r="C29" s="501">
        <v>2475.5</v>
      </c>
      <c r="D29" s="501">
        <v>0</v>
      </c>
      <c r="E29" s="501">
        <v>2475.5</v>
      </c>
    </row>
    <row r="30" spans="1:5" x14ac:dyDescent="0.25">
      <c r="A30" s="499" t="s">
        <v>121</v>
      </c>
      <c r="B30" s="499" t="s">
        <v>122</v>
      </c>
      <c r="C30" s="501">
        <v>1190.7</v>
      </c>
      <c r="D30" s="501">
        <v>0</v>
      </c>
      <c r="E30" s="501">
        <v>1190.7</v>
      </c>
    </row>
    <row r="31" spans="1:5" x14ac:dyDescent="0.25">
      <c r="A31" s="499" t="s">
        <v>123</v>
      </c>
      <c r="B31" s="499" t="s">
        <v>124</v>
      </c>
      <c r="C31" s="501">
        <v>61.4</v>
      </c>
      <c r="D31" s="501">
        <v>0</v>
      </c>
      <c r="E31" s="501">
        <v>61.4</v>
      </c>
    </row>
    <row r="32" spans="1:5" x14ac:dyDescent="0.25">
      <c r="A32" s="502" t="s">
        <v>125</v>
      </c>
      <c r="B32" s="503"/>
      <c r="C32" s="504">
        <f>SUM(C28:C31)</f>
        <v>5000</v>
      </c>
      <c r="D32" s="504">
        <f>SUM(D28:D31)</f>
        <v>0</v>
      </c>
      <c r="E32" s="504">
        <f>SUM(E28:E31)</f>
        <v>5000</v>
      </c>
    </row>
    <row r="34" spans="1:5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5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5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5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5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5" x14ac:dyDescent="0.25">
      <c r="A40" s="499" t="s">
        <v>126</v>
      </c>
      <c r="B40" s="499" t="s">
        <v>347</v>
      </c>
      <c r="C40" s="501">
        <v>-8895013.2899999991</v>
      </c>
      <c r="D40" s="501">
        <v>1188941.21</v>
      </c>
      <c r="E40" s="501">
        <v>-7706072.0800000001</v>
      </c>
    </row>
    <row r="41" spans="1:5" x14ac:dyDescent="0.25">
      <c r="A41" s="499" t="s">
        <v>128</v>
      </c>
      <c r="B41" s="499" t="s">
        <v>348</v>
      </c>
      <c r="C41" s="501">
        <v>-17600101.260000002</v>
      </c>
      <c r="D41" s="501">
        <v>2577479.87</v>
      </c>
      <c r="E41" s="501">
        <v>-15022621.390000001</v>
      </c>
    </row>
    <row r="42" spans="1:5" x14ac:dyDescent="0.25">
      <c r="A42" s="499" t="s">
        <v>130</v>
      </c>
      <c r="B42" s="499" t="s">
        <v>349</v>
      </c>
      <c r="C42" s="501">
        <v>-8791502.6699999999</v>
      </c>
      <c r="D42" s="501">
        <v>1302199.42</v>
      </c>
      <c r="E42" s="501">
        <v>-7489303.25</v>
      </c>
    </row>
    <row r="43" spans="1:5" x14ac:dyDescent="0.25">
      <c r="A43" s="499" t="s">
        <v>132</v>
      </c>
      <c r="B43" s="499" t="s">
        <v>350</v>
      </c>
      <c r="C43" s="501">
        <v>-402330.9</v>
      </c>
      <c r="D43" s="501">
        <v>47969.32</v>
      </c>
      <c r="E43" s="501">
        <v>-354361.58</v>
      </c>
    </row>
    <row r="44" spans="1:5" x14ac:dyDescent="0.25">
      <c r="A44" s="502" t="s">
        <v>134</v>
      </c>
      <c r="B44" s="503"/>
      <c r="C44" s="504">
        <f>SUM(C40:C43)</f>
        <v>-35688948.119999997</v>
      </c>
      <c r="D44" s="504">
        <f>SUM(D40:D43)</f>
        <v>5116589.82</v>
      </c>
      <c r="E44" s="504">
        <f>SUM(E40:E43)</f>
        <v>-30572358.299999997</v>
      </c>
    </row>
    <row r="46" spans="1:5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5" x14ac:dyDescent="0.25">
      <c r="A47" s="499" t="s">
        <v>328</v>
      </c>
      <c r="B47" s="499" t="s">
        <v>329</v>
      </c>
      <c r="C47" s="501">
        <v>13014756</v>
      </c>
      <c r="D47" s="501">
        <v>-65169242</v>
      </c>
      <c r="E47" s="501">
        <v>-52154486</v>
      </c>
    </row>
    <row r="48" spans="1:5" x14ac:dyDescent="0.25">
      <c r="A48" s="499" t="s">
        <v>330</v>
      </c>
      <c r="B48" s="499" t="s">
        <v>331</v>
      </c>
      <c r="C48" s="501">
        <v>-42093899</v>
      </c>
      <c r="D48" s="501">
        <v>41184830</v>
      </c>
      <c r="E48" s="501">
        <v>-909069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-29079143</v>
      </c>
      <c r="D50" s="504">
        <f>SUM(D46:D49)</f>
        <v>-23984412</v>
      </c>
      <c r="E50" s="504">
        <f>SUM(E46:E49)</f>
        <v>-53063555</v>
      </c>
    </row>
    <row r="52" spans="1:5" x14ac:dyDescent="0.25">
      <c r="A52" s="499" t="s">
        <v>135</v>
      </c>
      <c r="B52" s="499" t="s">
        <v>136</v>
      </c>
      <c r="C52" s="501">
        <v>-1740655657.8399999</v>
      </c>
      <c r="D52" s="501">
        <v>-260034473.87</v>
      </c>
      <c r="E52" s="501">
        <v>-2000690131.71</v>
      </c>
    </row>
    <row r="53" spans="1:5" x14ac:dyDescent="0.25">
      <c r="A53" s="499" t="s">
        <v>137</v>
      </c>
      <c r="B53" s="499" t="s">
        <v>138</v>
      </c>
      <c r="C53" s="501">
        <v>-3357028272.7199998</v>
      </c>
      <c r="D53" s="501">
        <v>-402677971.20999998</v>
      </c>
      <c r="E53" s="501">
        <v>-3759706243.9299998</v>
      </c>
    </row>
    <row r="54" spans="1:5" x14ac:dyDescent="0.25">
      <c r="A54" s="499" t="s">
        <v>139</v>
      </c>
      <c r="B54" s="499" t="s">
        <v>140</v>
      </c>
      <c r="C54" s="501">
        <v>-1773881030.29</v>
      </c>
      <c r="D54" s="501">
        <v>-149406895.25</v>
      </c>
      <c r="E54" s="501">
        <v>-1923287925.54</v>
      </c>
    </row>
    <row r="55" spans="1:5" x14ac:dyDescent="0.25">
      <c r="A55" s="499" t="s">
        <v>141</v>
      </c>
      <c r="B55" s="499" t="s">
        <v>142</v>
      </c>
      <c r="C55" s="501">
        <v>-119275740.05</v>
      </c>
      <c r="D55" s="501">
        <v>-15252362.6</v>
      </c>
      <c r="E55" s="501">
        <v>-134528102.65000001</v>
      </c>
    </row>
    <row r="56" spans="1:5" x14ac:dyDescent="0.25">
      <c r="A56" s="502" t="s">
        <v>143</v>
      </c>
      <c r="B56" s="503"/>
      <c r="C56" s="504">
        <f>SUM(C52:C55)</f>
        <v>-6990840700.8999996</v>
      </c>
      <c r="D56" s="504">
        <f>SUM(D52:D55)</f>
        <v>-827371702.92999995</v>
      </c>
      <c r="E56" s="504">
        <f>SUM(E52:E55)</f>
        <v>-7818212403.829999</v>
      </c>
    </row>
    <row r="58" spans="1:5" x14ac:dyDescent="0.25">
      <c r="A58" s="499" t="s">
        <v>351</v>
      </c>
      <c r="B58" s="499" t="s">
        <v>352</v>
      </c>
      <c r="C58" s="501">
        <v>-48012171.259999998</v>
      </c>
      <c r="D58" s="501">
        <v>4315786.8099999996</v>
      </c>
      <c r="E58" s="501">
        <v>-43696384.450000003</v>
      </c>
    </row>
    <row r="59" spans="1:5" x14ac:dyDescent="0.25">
      <c r="A59" s="499" t="s">
        <v>353</v>
      </c>
      <c r="B59" s="499" t="s">
        <v>354</v>
      </c>
      <c r="C59" s="501">
        <v>-540.66</v>
      </c>
      <c r="D59" s="501">
        <v>0</v>
      </c>
      <c r="E59" s="501">
        <v>-540.66</v>
      </c>
    </row>
    <row r="60" spans="1:5" x14ac:dyDescent="0.25">
      <c r="C60" s="501">
        <f>SUM(C58:C59)</f>
        <v>-48012711.919999994</v>
      </c>
      <c r="D60" s="501">
        <f>SUM(D58:D59)</f>
        <v>4315786.8099999996</v>
      </c>
      <c r="E60" s="501">
        <f>SUM(E58:E59)</f>
        <v>-43696925.109999999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-58542545.990000002</v>
      </c>
      <c r="D72" s="501">
        <v>-5453907.6500000004</v>
      </c>
      <c r="E72" s="501">
        <v>-63996453.640000001</v>
      </c>
    </row>
    <row r="73" spans="1:5" x14ac:dyDescent="0.25">
      <c r="A73" s="499" t="s">
        <v>152</v>
      </c>
      <c r="B73" s="499" t="s">
        <v>41</v>
      </c>
      <c r="C73" s="501">
        <v>-13049506.01</v>
      </c>
      <c r="D73" s="501">
        <v>-1439261.65</v>
      </c>
      <c r="E73" s="501">
        <v>-14488767.66</v>
      </c>
    </row>
    <row r="74" spans="1:5" x14ac:dyDescent="0.25">
      <c r="A74" s="499" t="s">
        <v>153</v>
      </c>
      <c r="B74" s="499" t="s">
        <v>42</v>
      </c>
      <c r="C74" s="501">
        <v>-5306536.42</v>
      </c>
      <c r="D74" s="501">
        <v>-746552.11</v>
      </c>
      <c r="E74" s="501">
        <v>-6053088.5300000003</v>
      </c>
    </row>
    <row r="75" spans="1:5" x14ac:dyDescent="0.25">
      <c r="A75" s="499" t="s">
        <v>154</v>
      </c>
      <c r="B75" s="499" t="s">
        <v>43</v>
      </c>
      <c r="C75" s="501">
        <v>-11228871.060000001</v>
      </c>
      <c r="D75" s="501">
        <v>-1090666.19</v>
      </c>
      <c r="E75" s="501">
        <v>-12319537.25</v>
      </c>
    </row>
    <row r="76" spans="1:5" x14ac:dyDescent="0.25">
      <c r="A76" s="502" t="s">
        <v>155</v>
      </c>
      <c r="B76" s="503"/>
      <c r="C76" s="504">
        <f>SUM(C72:C75)</f>
        <v>-88127459.480000004</v>
      </c>
      <c r="D76" s="504">
        <f>SUM(D72:D75)</f>
        <v>-8730387.6000000015</v>
      </c>
      <c r="E76" s="504">
        <f>SUM(E72:E75)</f>
        <v>-96857847.079999998</v>
      </c>
    </row>
    <row r="78" spans="1:5" x14ac:dyDescent="0.25">
      <c r="A78" s="499" t="s">
        <v>156</v>
      </c>
      <c r="B78" s="499" t="s">
        <v>157</v>
      </c>
      <c r="C78" s="501">
        <v>8445472.2300000004</v>
      </c>
      <c r="D78" s="501">
        <v>1553190.42</v>
      </c>
      <c r="E78" s="501">
        <v>9998662.6500000004</v>
      </c>
    </row>
    <row r="79" spans="1:5" x14ac:dyDescent="0.25">
      <c r="A79" s="499" t="s">
        <v>158</v>
      </c>
      <c r="B79" s="499" t="s">
        <v>159</v>
      </c>
      <c r="C79" s="501">
        <v>8114667.1399999997</v>
      </c>
      <c r="D79" s="501">
        <v>437640.69</v>
      </c>
      <c r="E79" s="501">
        <v>8552307.8300000001</v>
      </c>
    </row>
    <row r="80" spans="1:5" x14ac:dyDescent="0.25">
      <c r="A80" s="499" t="s">
        <v>160</v>
      </c>
      <c r="B80" s="499" t="s">
        <v>161</v>
      </c>
      <c r="C80" s="501">
        <v>310066.28999999998</v>
      </c>
      <c r="D80" s="501">
        <v>36849.86</v>
      </c>
      <c r="E80" s="501">
        <v>346916.15</v>
      </c>
    </row>
    <row r="81" spans="1:5" x14ac:dyDescent="0.25">
      <c r="A81" s="499" t="s">
        <v>162</v>
      </c>
      <c r="B81" s="499" t="s">
        <v>163</v>
      </c>
      <c r="C81" s="501">
        <v>5773352.1600000001</v>
      </c>
      <c r="D81" s="501">
        <v>243771.46</v>
      </c>
      <c r="E81" s="501">
        <v>6017123.6200000001</v>
      </c>
    </row>
    <row r="82" spans="1:5" x14ac:dyDescent="0.25">
      <c r="A82" s="502" t="s">
        <v>164</v>
      </c>
      <c r="B82" s="503"/>
      <c r="C82" s="504">
        <f>SUM(C78:C81)</f>
        <v>22643557.82</v>
      </c>
      <c r="D82" s="504">
        <f>SUM(D78:D81)</f>
        <v>2271452.4300000002</v>
      </c>
      <c r="E82" s="504">
        <f>SUM(E78:E81)</f>
        <v>24915010.25</v>
      </c>
    </row>
    <row r="84" spans="1:5" x14ac:dyDescent="0.25">
      <c r="A84" s="502" t="s">
        <v>31</v>
      </c>
      <c r="B84" s="503"/>
      <c r="C84" s="504">
        <f>C14+C20+C26+C32+C44+C56+C62+C70+C76+C82+C50+C38+C60</f>
        <v>706438839.88000011</v>
      </c>
      <c r="D84" s="504">
        <f>D14+D20+D26+D32+D44+D56+D62+D70+D76+D82+D50+D38+D60</f>
        <v>-94100020.259999841</v>
      </c>
      <c r="E84" s="504">
        <f>E14+E20+E26+E32+E44+E56+E62+E70+E76+E82+E50+E38+E60</f>
        <v>612338819.62000036</v>
      </c>
    </row>
  </sheetData>
  <pageMargins left="0.75" right="0.75" top="0.75" bottom="0.75" header="0.5" footer="0.5"/>
  <pageSetup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A4" sqref="A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2" t="s">
        <v>86</v>
      </c>
      <c r="C2" s="563"/>
      <c r="D2" s="563"/>
    </row>
    <row r="3" spans="1:4" x14ac:dyDescent="0.25">
      <c r="B3" s="555" t="s">
        <v>401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402</v>
      </c>
      <c r="C5" s="342"/>
      <c r="D5" s="342"/>
    </row>
    <row r="7" spans="1:4" x14ac:dyDescent="0.25">
      <c r="B7" s="344" t="s">
        <v>30</v>
      </c>
      <c r="C7" s="345" t="s">
        <v>199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213203060.59</v>
      </c>
      <c r="D9" s="347">
        <v>2371965125.4000001</v>
      </c>
    </row>
    <row r="10" spans="1:4" x14ac:dyDescent="0.25">
      <c r="A10" s="346" t="s">
        <v>94</v>
      </c>
      <c r="B10" s="346" t="s">
        <v>35</v>
      </c>
      <c r="C10" s="343">
        <v>407191198.62</v>
      </c>
      <c r="D10" s="343">
        <v>4597144658.5</v>
      </c>
    </row>
    <row r="11" spans="1:4" x14ac:dyDescent="0.25">
      <c r="A11" s="346" t="s">
        <v>95</v>
      </c>
      <c r="B11" s="346" t="s">
        <v>36</v>
      </c>
      <c r="C11" s="343">
        <v>123143136.39</v>
      </c>
      <c r="D11" s="343">
        <v>1903191696.1600001</v>
      </c>
    </row>
    <row r="12" spans="1:4" x14ac:dyDescent="0.25">
      <c r="A12" s="346" t="s">
        <v>96</v>
      </c>
      <c r="B12" s="346" t="s">
        <v>37</v>
      </c>
      <c r="C12" s="343">
        <v>20815195.789999999</v>
      </c>
      <c r="D12" s="343">
        <v>153720851.03999999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764352591.38999999</v>
      </c>
      <c r="D14" s="561">
        <f>SUM(D9:D13)</f>
        <v>9026022331.1000004</v>
      </c>
    </row>
    <row r="16" spans="1:4" x14ac:dyDescent="0.25">
      <c r="A16" s="346" t="s">
        <v>99</v>
      </c>
      <c r="B16" s="346" t="s">
        <v>100</v>
      </c>
      <c r="C16" s="343">
        <v>153673.32999999999</v>
      </c>
      <c r="D16" s="343">
        <v>2278397.67</v>
      </c>
    </row>
    <row r="17" spans="1:4" x14ac:dyDescent="0.25">
      <c r="A17" s="346" t="s">
        <v>101</v>
      </c>
      <c r="B17" s="346" t="s">
        <v>102</v>
      </c>
      <c r="C17" s="343">
        <v>293558.07</v>
      </c>
      <c r="D17" s="343">
        <v>4411397.3499999996</v>
      </c>
    </row>
    <row r="18" spans="1:4" x14ac:dyDescent="0.25">
      <c r="A18" s="346" t="s">
        <v>103</v>
      </c>
      <c r="B18" s="346" t="s">
        <v>104</v>
      </c>
      <c r="C18" s="343">
        <v>163302.25</v>
      </c>
      <c r="D18" s="343">
        <v>2706221.1</v>
      </c>
    </row>
    <row r="19" spans="1:4" x14ac:dyDescent="0.25">
      <c r="A19" s="346" t="s">
        <v>105</v>
      </c>
      <c r="B19" s="346" t="s">
        <v>106</v>
      </c>
      <c r="C19" s="343">
        <v>14477.52</v>
      </c>
      <c r="D19" s="343">
        <v>144665.4</v>
      </c>
    </row>
    <row r="20" spans="1:4" x14ac:dyDescent="0.25">
      <c r="A20" s="559" t="s">
        <v>107</v>
      </c>
      <c r="B20" s="560"/>
      <c r="C20" s="561">
        <f>SUM(C16:C19)</f>
        <v>625011.17000000004</v>
      </c>
      <c r="D20" s="561">
        <f>SUM(D16:D19)</f>
        <v>9540681.5199999996</v>
      </c>
    </row>
    <row r="22" spans="1:4" x14ac:dyDescent="0.25">
      <c r="A22" s="346" t="s">
        <v>108</v>
      </c>
      <c r="B22" s="346" t="s">
        <v>109</v>
      </c>
      <c r="C22" s="343">
        <v>73964.160000000003</v>
      </c>
      <c r="D22" s="343">
        <v>849954.92</v>
      </c>
    </row>
    <row r="23" spans="1:4" x14ac:dyDescent="0.25">
      <c r="A23" s="346" t="s">
        <v>110</v>
      </c>
      <c r="B23" s="346" t="s">
        <v>111</v>
      </c>
      <c r="C23" s="343">
        <v>141221.10999999999</v>
      </c>
      <c r="D23" s="343">
        <v>1641569.6</v>
      </c>
    </row>
    <row r="24" spans="1:4" x14ac:dyDescent="0.25">
      <c r="A24" s="346" t="s">
        <v>112</v>
      </c>
      <c r="B24" s="346" t="s">
        <v>113</v>
      </c>
      <c r="C24" s="343">
        <v>42681.86</v>
      </c>
      <c r="D24" s="343">
        <v>614059.73</v>
      </c>
    </row>
    <row r="25" spans="1:4" x14ac:dyDescent="0.25">
      <c r="A25" s="346" t="s">
        <v>114</v>
      </c>
      <c r="B25" s="346" t="s">
        <v>115</v>
      </c>
      <c r="C25" s="343">
        <v>7237.25</v>
      </c>
      <c r="D25" s="343">
        <v>61046.7</v>
      </c>
    </row>
    <row r="26" spans="1:4" x14ac:dyDescent="0.25">
      <c r="A26" s="559" t="s">
        <v>116</v>
      </c>
      <c r="B26" s="560"/>
      <c r="C26" s="561">
        <f>SUM(C22:C25)</f>
        <v>265104.38</v>
      </c>
      <c r="D26" s="561">
        <f>SUM(D22:D25)</f>
        <v>3166630.95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4963.97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9682.35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4019.67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261.66000000000003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18927.649999999998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-5230571.43</v>
      </c>
      <c r="D40" s="343">
        <v>-16143218.810000001</v>
      </c>
    </row>
    <row r="41" spans="1:4" x14ac:dyDescent="0.25">
      <c r="A41" s="346" t="s">
        <v>128</v>
      </c>
      <c r="B41" s="346" t="s">
        <v>348</v>
      </c>
      <c r="C41" s="343">
        <v>-9986829.4000000004</v>
      </c>
      <c r="D41" s="343">
        <v>-43802773.880000003</v>
      </c>
    </row>
    <row r="42" spans="1:4" x14ac:dyDescent="0.25">
      <c r="A42" s="346" t="s">
        <v>130</v>
      </c>
      <c r="B42" s="346" t="s">
        <v>349</v>
      </c>
      <c r="C42" s="343">
        <v>-3246189.11</v>
      </c>
      <c r="D42" s="343">
        <v>-10531492.77</v>
      </c>
    </row>
    <row r="43" spans="1:4" x14ac:dyDescent="0.25">
      <c r="A43" s="346" t="s">
        <v>132</v>
      </c>
      <c r="B43" s="346" t="s">
        <v>350</v>
      </c>
      <c r="C43" s="343">
        <v>-511808.6</v>
      </c>
      <c r="D43" s="343">
        <v>-1540658.56</v>
      </c>
    </row>
    <row r="44" spans="1:4" x14ac:dyDescent="0.25">
      <c r="A44" s="559" t="s">
        <v>134</v>
      </c>
      <c r="B44" s="560"/>
      <c r="C44" s="561">
        <f>SUM(C40:C43)</f>
        <v>-18975398.540000003</v>
      </c>
      <c r="D44" s="561">
        <f>SUM(D40:D43)</f>
        <v>-72018144.020000011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-369837300.00999999</v>
      </c>
      <c r="D47" s="343">
        <v>-365868968.74000001</v>
      </c>
    </row>
    <row r="48" spans="1:4" x14ac:dyDescent="0.25">
      <c r="A48" s="346" t="s">
        <v>330</v>
      </c>
      <c r="B48" s="346" t="s">
        <v>331</v>
      </c>
      <c r="C48" s="343">
        <v>14925162</v>
      </c>
      <c r="D48" s="343">
        <v>113405742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-354912138.00999999</v>
      </c>
      <c r="D50" s="561">
        <f>SUM(D46:D49)</f>
        <v>-252463226.74000001</v>
      </c>
    </row>
    <row r="52" spans="1:4" x14ac:dyDescent="0.25">
      <c r="A52" s="346" t="s">
        <v>135</v>
      </c>
      <c r="B52" s="346" t="s">
        <v>385</v>
      </c>
      <c r="C52" s="343">
        <v>-276683753.45999998</v>
      </c>
      <c r="D52" s="343">
        <v>-2143265633.6099999</v>
      </c>
    </row>
    <row r="53" spans="1:4" x14ac:dyDescent="0.25">
      <c r="A53" s="346" t="s">
        <v>137</v>
      </c>
      <c r="B53" s="346" t="s">
        <v>386</v>
      </c>
      <c r="C53" s="343">
        <v>-295567569.25</v>
      </c>
      <c r="D53" s="343">
        <v>-4007654589.7199998</v>
      </c>
    </row>
    <row r="54" spans="1:4" x14ac:dyDescent="0.25">
      <c r="A54" s="346" t="s">
        <v>139</v>
      </c>
      <c r="B54" s="346" t="s">
        <v>387</v>
      </c>
      <c r="C54" s="343">
        <v>-148896405.93000001</v>
      </c>
      <c r="D54" s="343">
        <v>-1981595866.8099999</v>
      </c>
    </row>
    <row r="55" spans="1:4" x14ac:dyDescent="0.25">
      <c r="A55" s="346" t="s">
        <v>141</v>
      </c>
      <c r="B55" s="346" t="s">
        <v>388</v>
      </c>
      <c r="C55" s="343">
        <v>-20841753.41</v>
      </c>
      <c r="D55" s="343">
        <v>-149068898.61000001</v>
      </c>
    </row>
    <row r="56" spans="1:4" x14ac:dyDescent="0.25">
      <c r="A56" s="559" t="s">
        <v>143</v>
      </c>
      <c r="B56" s="560"/>
      <c r="C56" s="561">
        <f>SUM(C52:C55)</f>
        <v>-741989482.05000007</v>
      </c>
      <c r="D56" s="561">
        <f>SUM(D52:D55)</f>
        <v>-8281584988.749999</v>
      </c>
    </row>
    <row r="58" spans="1:4" x14ac:dyDescent="0.25">
      <c r="A58" s="346" t="s">
        <v>351</v>
      </c>
      <c r="B58" s="346" t="s">
        <v>352</v>
      </c>
      <c r="C58" s="343">
        <v>-4076521.05</v>
      </c>
      <c r="D58" s="343">
        <v>13292763.57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-4076521.05</v>
      </c>
      <c r="D60" s="343">
        <f>SUM(D58:D59)</f>
        <v>13292763.57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-5057219.5</v>
      </c>
      <c r="D72" s="343">
        <v>-66911200.130000003</v>
      </c>
    </row>
    <row r="73" spans="1:4" x14ac:dyDescent="0.25">
      <c r="A73" s="346" t="s">
        <v>152</v>
      </c>
      <c r="B73" s="346" t="s">
        <v>41</v>
      </c>
      <c r="C73" s="343">
        <v>-1576722.82</v>
      </c>
      <c r="D73" s="343">
        <v>-21008229.120000001</v>
      </c>
    </row>
    <row r="74" spans="1:4" x14ac:dyDescent="0.25">
      <c r="A74" s="346" t="s">
        <v>153</v>
      </c>
      <c r="B74" s="346" t="s">
        <v>42</v>
      </c>
      <c r="C74" s="343">
        <v>-784968.58</v>
      </c>
      <c r="D74" s="343">
        <v>-9708962</v>
      </c>
    </row>
    <row r="75" spans="1:4" x14ac:dyDescent="0.25">
      <c r="A75" s="346" t="s">
        <v>154</v>
      </c>
      <c r="B75" s="346" t="s">
        <v>43</v>
      </c>
      <c r="C75" s="343">
        <v>-1047612.95</v>
      </c>
      <c r="D75" s="343">
        <v>-13483637.060000001</v>
      </c>
    </row>
    <row r="76" spans="1:4" x14ac:dyDescent="0.25">
      <c r="A76" s="559" t="s">
        <v>155</v>
      </c>
      <c r="B76" s="560"/>
      <c r="C76" s="561">
        <f>SUM(C72:C75)</f>
        <v>-8466523.8499999996</v>
      </c>
      <c r="D76" s="561">
        <f>SUM(D72:D75)</f>
        <v>-111112028.31</v>
      </c>
    </row>
    <row r="78" spans="1:4" x14ac:dyDescent="0.25">
      <c r="A78" s="346" t="s">
        <v>156</v>
      </c>
      <c r="B78" s="346" t="s">
        <v>394</v>
      </c>
      <c r="C78" s="343">
        <v>1286906.1299999999</v>
      </c>
      <c r="D78" s="343">
        <v>15852770.41</v>
      </c>
    </row>
    <row r="79" spans="1:4" x14ac:dyDescent="0.25">
      <c r="A79" s="346" t="s">
        <v>158</v>
      </c>
      <c r="B79" s="346" t="s">
        <v>395</v>
      </c>
      <c r="C79" s="343">
        <v>305214.68</v>
      </c>
      <c r="D79" s="343">
        <v>4053537.25</v>
      </c>
    </row>
    <row r="80" spans="1:4" x14ac:dyDescent="0.25">
      <c r="A80" s="346" t="s">
        <v>160</v>
      </c>
      <c r="B80" s="346" t="s">
        <v>396</v>
      </c>
      <c r="C80" s="343">
        <v>65610.06</v>
      </c>
      <c r="D80" s="343">
        <v>716658.05</v>
      </c>
    </row>
    <row r="81" spans="1:4" x14ac:dyDescent="0.25">
      <c r="A81" s="346" t="s">
        <v>162</v>
      </c>
      <c r="B81" s="346" t="s">
        <v>397</v>
      </c>
      <c r="C81" s="343">
        <v>91671.87</v>
      </c>
      <c r="D81" s="343">
        <v>1449110.58</v>
      </c>
    </row>
    <row r="82" spans="1:4" x14ac:dyDescent="0.25">
      <c r="A82" s="559" t="s">
        <v>164</v>
      </c>
      <c r="B82" s="560"/>
      <c r="C82" s="561">
        <f>SUM(C78:C81)</f>
        <v>1749402.7399999998</v>
      </c>
      <c r="D82" s="561">
        <f>SUM(D78:D81)</f>
        <v>22072076.289999999</v>
      </c>
    </row>
    <row r="84" spans="1:4" x14ac:dyDescent="0.25">
      <c r="A84" s="559" t="s">
        <v>31</v>
      </c>
      <c r="B84" s="560"/>
      <c r="C84" s="561">
        <f>C14+C20+C26+C32+C44+C56+C62+C70+C76+C82+C50+C38+C60</f>
        <v>-361427953.82000011</v>
      </c>
      <c r="D84" s="561">
        <f>D14+D20+D26+D32+D44+D56+D62+D70+D76+D82+D50+D38+D60</f>
        <v>356935023.26000172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J6" sqref="J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408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409</v>
      </c>
      <c r="C5" s="342"/>
      <c r="D5" s="342"/>
    </row>
    <row r="7" spans="1:4" x14ac:dyDescent="0.25">
      <c r="B7" s="344" t="s">
        <v>30</v>
      </c>
      <c r="C7" s="345" t="s">
        <v>167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195170057.19</v>
      </c>
      <c r="D9" s="347">
        <v>767973141.47000003</v>
      </c>
    </row>
    <row r="10" spans="1:4" x14ac:dyDescent="0.25">
      <c r="A10" s="346" t="s">
        <v>94</v>
      </c>
      <c r="B10" s="346" t="s">
        <v>35</v>
      </c>
      <c r="C10" s="343">
        <v>377152948.94</v>
      </c>
      <c r="D10" s="343">
        <v>1468044862.03</v>
      </c>
    </row>
    <row r="11" spans="1:4" x14ac:dyDescent="0.25">
      <c r="A11" s="346" t="s">
        <v>95</v>
      </c>
      <c r="B11" s="346" t="s">
        <v>36</v>
      </c>
      <c r="C11" s="343">
        <v>161109491.81999999</v>
      </c>
      <c r="D11" s="343">
        <v>560862845.88</v>
      </c>
    </row>
    <row r="12" spans="1:4" x14ac:dyDescent="0.25">
      <c r="A12" s="346" t="s">
        <v>96</v>
      </c>
      <c r="B12" s="346" t="s">
        <v>37</v>
      </c>
      <c r="C12" s="343">
        <v>20119847.210000001</v>
      </c>
      <c r="D12" s="343">
        <v>77378948.469999999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753552345.16000009</v>
      </c>
      <c r="D14" s="561">
        <f>SUM(D9:D13)</f>
        <v>2874259797.8499999</v>
      </c>
    </row>
    <row r="16" spans="1:4" x14ac:dyDescent="0.25">
      <c r="A16" s="346" t="s">
        <v>99</v>
      </c>
      <c r="B16" s="346" t="s">
        <v>100</v>
      </c>
      <c r="C16" s="343">
        <v>109599.51</v>
      </c>
      <c r="D16" s="343">
        <v>767298.87</v>
      </c>
    </row>
    <row r="17" spans="1:4" x14ac:dyDescent="0.25">
      <c r="A17" s="346" t="s">
        <v>101</v>
      </c>
      <c r="B17" s="346" t="s">
        <v>102</v>
      </c>
      <c r="C17" s="343">
        <v>217115.82</v>
      </c>
      <c r="D17" s="343">
        <v>1468458.88</v>
      </c>
    </row>
    <row r="18" spans="1:4" x14ac:dyDescent="0.25">
      <c r="A18" s="346" t="s">
        <v>103</v>
      </c>
      <c r="B18" s="346" t="s">
        <v>104</v>
      </c>
      <c r="C18" s="343">
        <v>185598.8</v>
      </c>
      <c r="D18" s="343">
        <v>872591.12</v>
      </c>
    </row>
    <row r="19" spans="1:4" x14ac:dyDescent="0.25">
      <c r="A19" s="346" t="s">
        <v>105</v>
      </c>
      <c r="B19" s="346" t="s">
        <v>106</v>
      </c>
      <c r="C19" s="343">
        <v>11064.79</v>
      </c>
      <c r="D19" s="343">
        <v>75227.990000000005</v>
      </c>
    </row>
    <row r="20" spans="1:4" x14ac:dyDescent="0.25">
      <c r="A20" s="559" t="s">
        <v>107</v>
      </c>
      <c r="B20" s="560"/>
      <c r="C20" s="561">
        <f>SUM(C16:C19)</f>
        <v>523378.92</v>
      </c>
      <c r="D20" s="561">
        <f>SUM(D16:D19)</f>
        <v>3183576.8600000003</v>
      </c>
    </row>
    <row r="22" spans="1:4" x14ac:dyDescent="0.25">
      <c r="A22" s="346" t="s">
        <v>108</v>
      </c>
      <c r="B22" s="346" t="s">
        <v>109</v>
      </c>
      <c r="C22" s="343">
        <v>84132.21</v>
      </c>
      <c r="D22" s="343">
        <v>302537.09999999998</v>
      </c>
    </row>
    <row r="23" spans="1:4" x14ac:dyDescent="0.25">
      <c r="A23" s="346" t="s">
        <v>110</v>
      </c>
      <c r="B23" s="346" t="s">
        <v>111</v>
      </c>
      <c r="C23" s="343">
        <v>162579.85</v>
      </c>
      <c r="D23" s="343">
        <v>578527.41</v>
      </c>
    </row>
    <row r="24" spans="1:4" x14ac:dyDescent="0.25">
      <c r="A24" s="346" t="s">
        <v>112</v>
      </c>
      <c r="B24" s="346" t="s">
        <v>113</v>
      </c>
      <c r="C24" s="343">
        <v>69449.7</v>
      </c>
      <c r="D24" s="343">
        <v>221872.2</v>
      </c>
    </row>
    <row r="25" spans="1:4" x14ac:dyDescent="0.25">
      <c r="A25" s="346" t="s">
        <v>114</v>
      </c>
      <c r="B25" s="346" t="s">
        <v>115</v>
      </c>
      <c r="C25" s="343">
        <v>8673.09</v>
      </c>
      <c r="D25" s="343">
        <v>30505.59</v>
      </c>
    </row>
    <row r="26" spans="1:4" x14ac:dyDescent="0.25">
      <c r="A26" s="559" t="s">
        <v>116</v>
      </c>
      <c r="B26" s="560"/>
      <c r="C26" s="561">
        <f>SUM(C22:C25)</f>
        <v>324834.85000000003</v>
      </c>
      <c r="D26" s="561">
        <f>SUM(D22:D25)</f>
        <v>1133442.3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540.20000000000005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1028.8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377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54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2000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104661.43</v>
      </c>
      <c r="D40" s="343">
        <v>13667195.18</v>
      </c>
    </row>
    <row r="41" spans="1:4" x14ac:dyDescent="0.25">
      <c r="A41" s="346" t="s">
        <v>128</v>
      </c>
      <c r="B41" s="346" t="s">
        <v>348</v>
      </c>
      <c r="C41" s="343">
        <v>199231.61</v>
      </c>
      <c r="D41" s="343">
        <v>26028808.510000002</v>
      </c>
    </row>
    <row r="42" spans="1:4" x14ac:dyDescent="0.25">
      <c r="A42" s="346" t="s">
        <v>130</v>
      </c>
      <c r="B42" s="346" t="s">
        <v>349</v>
      </c>
      <c r="C42" s="343">
        <v>72613.22</v>
      </c>
      <c r="D42" s="343">
        <v>9309808.4499999993</v>
      </c>
    </row>
    <row r="43" spans="1:4" x14ac:dyDescent="0.25">
      <c r="A43" s="346" t="s">
        <v>132</v>
      </c>
      <c r="B43" s="346" t="s">
        <v>350</v>
      </c>
      <c r="C43" s="343">
        <v>10451.75</v>
      </c>
      <c r="D43" s="343">
        <v>1366200.77</v>
      </c>
    </row>
    <row r="44" spans="1:4" x14ac:dyDescent="0.25">
      <c r="A44" s="559" t="s">
        <v>134</v>
      </c>
      <c r="B44" s="560"/>
      <c r="C44" s="561">
        <f>SUM(C40:C43)</f>
        <v>386958.01</v>
      </c>
      <c r="D44" s="561">
        <f>SUM(D40:D43)</f>
        <v>50372012.910000004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19790246</v>
      </c>
      <c r="D47" s="343">
        <v>319723733.74000001</v>
      </c>
    </row>
    <row r="48" spans="1:4" x14ac:dyDescent="0.25">
      <c r="A48" s="346" t="s">
        <v>330</v>
      </c>
      <c r="B48" s="346" t="s">
        <v>331</v>
      </c>
      <c r="C48" s="343">
        <v>26315388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46105634</v>
      </c>
      <c r="D50" s="561">
        <f>SUM(D46:D49)</f>
        <v>322929021.74000001</v>
      </c>
    </row>
    <row r="52" spans="1:4" x14ac:dyDescent="0.25">
      <c r="A52" s="346" t="s">
        <v>135</v>
      </c>
      <c r="B52" s="346" t="s">
        <v>385</v>
      </c>
      <c r="C52" s="343">
        <v>-150342185.47</v>
      </c>
      <c r="D52" s="343">
        <v>-769817321.41999996</v>
      </c>
    </row>
    <row r="53" spans="1:4" x14ac:dyDescent="0.25">
      <c r="A53" s="346" t="s">
        <v>137</v>
      </c>
      <c r="B53" s="346" t="s">
        <v>386</v>
      </c>
      <c r="C53" s="343">
        <v>-331499320.19999999</v>
      </c>
      <c r="D53" s="343">
        <v>-1562125110.3299999</v>
      </c>
    </row>
    <row r="54" spans="1:4" x14ac:dyDescent="0.25">
      <c r="A54" s="346" t="s">
        <v>139</v>
      </c>
      <c r="B54" s="346" t="s">
        <v>387</v>
      </c>
      <c r="C54" s="343">
        <v>-168650151.53</v>
      </c>
      <c r="D54" s="343">
        <v>-600417944.63</v>
      </c>
    </row>
    <row r="55" spans="1:4" x14ac:dyDescent="0.25">
      <c r="A55" s="346" t="s">
        <v>141</v>
      </c>
      <c r="B55" s="346" t="s">
        <v>388</v>
      </c>
      <c r="C55" s="343">
        <v>-14518419.789999999</v>
      </c>
      <c r="D55" s="343">
        <v>-52063364.950000003</v>
      </c>
    </row>
    <row r="56" spans="1:4" x14ac:dyDescent="0.25">
      <c r="A56" s="559" t="s">
        <v>143</v>
      </c>
      <c r="B56" s="560"/>
      <c r="C56" s="561">
        <f>SUM(C52:C55)</f>
        <v>-665010076.98999989</v>
      </c>
      <c r="D56" s="561">
        <f>SUM(D52:D55)</f>
        <v>-2984423741.3299999</v>
      </c>
    </row>
    <row r="58" spans="1:4" x14ac:dyDescent="0.25">
      <c r="A58" s="346" t="s">
        <v>351</v>
      </c>
      <c r="B58" s="346" t="s">
        <v>352</v>
      </c>
      <c r="C58" s="343">
        <v>194857.7</v>
      </c>
      <c r="D58" s="343">
        <v>-1599692.81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194857.7</v>
      </c>
      <c r="D60" s="343">
        <f>SUM(D58:D59)</f>
        <v>-1599692.81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-5810360.46</v>
      </c>
      <c r="D72" s="343">
        <v>-20839781.469999999</v>
      </c>
    </row>
    <row r="73" spans="1:4" x14ac:dyDescent="0.25">
      <c r="A73" s="346" t="s">
        <v>152</v>
      </c>
      <c r="B73" s="346" t="s">
        <v>41</v>
      </c>
      <c r="C73" s="343">
        <v>-2288100.35</v>
      </c>
      <c r="D73" s="343">
        <v>-6792048.0499999998</v>
      </c>
    </row>
    <row r="74" spans="1:4" x14ac:dyDescent="0.25">
      <c r="A74" s="346" t="s">
        <v>153</v>
      </c>
      <c r="B74" s="346" t="s">
        <v>42</v>
      </c>
      <c r="C74" s="343">
        <v>-934990.72</v>
      </c>
      <c r="D74" s="343">
        <v>-3151163.48</v>
      </c>
    </row>
    <row r="75" spans="1:4" x14ac:dyDescent="0.25">
      <c r="A75" s="346" t="s">
        <v>154</v>
      </c>
      <c r="B75" s="346" t="s">
        <v>43</v>
      </c>
      <c r="C75" s="343">
        <v>-1175141.83</v>
      </c>
      <c r="D75" s="343">
        <v>-4353295.5</v>
      </c>
    </row>
    <row r="76" spans="1:4" x14ac:dyDescent="0.25">
      <c r="A76" s="559" t="s">
        <v>155</v>
      </c>
      <c r="B76" s="560"/>
      <c r="C76" s="561">
        <f>SUM(C72:C75)</f>
        <v>-10208593.360000001</v>
      </c>
      <c r="D76" s="561">
        <f>SUM(D72:D75)</f>
        <v>-35136288.5</v>
      </c>
    </row>
    <row r="78" spans="1:4" x14ac:dyDescent="0.25">
      <c r="A78" s="346" t="s">
        <v>156</v>
      </c>
      <c r="B78" s="346" t="s">
        <v>394</v>
      </c>
      <c r="C78" s="343">
        <v>1413001.89</v>
      </c>
      <c r="D78" s="343">
        <v>5545806.7300000004</v>
      </c>
    </row>
    <row r="79" spans="1:4" x14ac:dyDescent="0.25">
      <c r="A79" s="346" t="s">
        <v>158</v>
      </c>
      <c r="B79" s="346" t="s">
        <v>395</v>
      </c>
      <c r="C79" s="343">
        <v>419723.04</v>
      </c>
      <c r="D79" s="343">
        <v>1551564.87</v>
      </c>
    </row>
    <row r="80" spans="1:4" x14ac:dyDescent="0.25">
      <c r="A80" s="346" t="s">
        <v>160</v>
      </c>
      <c r="B80" s="346" t="s">
        <v>396</v>
      </c>
      <c r="C80" s="343">
        <v>47950.36</v>
      </c>
      <c r="D80" s="343">
        <v>259753.54</v>
      </c>
    </row>
    <row r="81" spans="1:4" x14ac:dyDescent="0.25">
      <c r="A81" s="346" t="s">
        <v>162</v>
      </c>
      <c r="B81" s="346" t="s">
        <v>397</v>
      </c>
      <c r="C81" s="343">
        <v>92110.85</v>
      </c>
      <c r="D81" s="343">
        <v>368545.32</v>
      </c>
    </row>
    <row r="82" spans="1:4" x14ac:dyDescent="0.25">
      <c r="A82" s="559" t="s">
        <v>164</v>
      </c>
      <c r="B82" s="560"/>
      <c r="C82" s="561">
        <f>SUM(C78:C81)</f>
        <v>1972786.1400000001</v>
      </c>
      <c r="D82" s="561">
        <f>SUM(D78:D81)</f>
        <v>7725670.4600000009</v>
      </c>
    </row>
    <row r="84" spans="1:4" x14ac:dyDescent="0.25">
      <c r="A84" s="559" t="s">
        <v>31</v>
      </c>
      <c r="B84" s="560"/>
      <c r="C84" s="561">
        <f>C14+C20+C26+C32+C44+C56+C62+C70+C76+C82+C50+C38+C60</f>
        <v>127842124.43000017</v>
      </c>
      <c r="D84" s="561">
        <f>D14+D20+D26+D32+D44+D56+D62+D70+D76+D82+D50+D38+D60</f>
        <v>238445799.48000017</v>
      </c>
    </row>
  </sheetData>
  <pageMargins left="0.7" right="0.7" top="0.75" bottom="0.75" header="0.3" footer="0.3"/>
  <pageSetup scale="64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2" zoomScaleNormal="100" workbookViewId="0">
      <selection activeCell="I74" sqref="I7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6" t="s">
        <v>86</v>
      </c>
      <c r="C2" s="567"/>
      <c r="D2" s="567"/>
    </row>
    <row r="3" spans="1:4" x14ac:dyDescent="0.25">
      <c r="B3" s="555" t="s">
        <v>410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411</v>
      </c>
      <c r="C5" s="342"/>
      <c r="D5" s="342"/>
    </row>
    <row r="7" spans="1:4" x14ac:dyDescent="0.25">
      <c r="B7" s="344" t="s">
        <v>30</v>
      </c>
      <c r="C7" s="345" t="s">
        <v>170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195703839.21000001</v>
      </c>
      <c r="D9" s="347">
        <v>963676980.67999995</v>
      </c>
    </row>
    <row r="10" spans="1:4" x14ac:dyDescent="0.25">
      <c r="A10" s="346" t="s">
        <v>94</v>
      </c>
      <c r="B10" s="346" t="s">
        <v>35</v>
      </c>
      <c r="C10" s="343">
        <v>378184446.69999999</v>
      </c>
      <c r="D10" s="343">
        <v>1846229308.73</v>
      </c>
    </row>
    <row r="11" spans="1:4" x14ac:dyDescent="0.25">
      <c r="A11" s="346" t="s">
        <v>95</v>
      </c>
      <c r="B11" s="346" t="s">
        <v>36</v>
      </c>
      <c r="C11" s="343">
        <v>161550119.63999999</v>
      </c>
      <c r="D11" s="343">
        <v>722412965.51999998</v>
      </c>
    </row>
    <row r="12" spans="1:4" x14ac:dyDescent="0.25">
      <c r="A12" s="346" t="s">
        <v>96</v>
      </c>
      <c r="B12" s="346" t="s">
        <v>37</v>
      </c>
      <c r="C12" s="343">
        <v>20174874.100000001</v>
      </c>
      <c r="D12" s="343">
        <v>97553822.569999993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755613279.64999998</v>
      </c>
      <c r="D14" s="561">
        <f>SUM(D9:D13)</f>
        <v>3629873077.5</v>
      </c>
    </row>
    <row r="16" spans="1:4" x14ac:dyDescent="0.25">
      <c r="A16" s="346" t="s">
        <v>99</v>
      </c>
      <c r="B16" s="346" t="s">
        <v>100</v>
      </c>
      <c r="C16" s="343">
        <v>228559.84</v>
      </c>
      <c r="D16" s="343">
        <v>995858.71</v>
      </c>
    </row>
    <row r="17" spans="1:4" x14ac:dyDescent="0.25">
      <c r="A17" s="346" t="s">
        <v>101</v>
      </c>
      <c r="B17" s="346" t="s">
        <v>102</v>
      </c>
      <c r="C17" s="343">
        <v>438979.62</v>
      </c>
      <c r="D17" s="343">
        <v>1907438.5</v>
      </c>
    </row>
    <row r="18" spans="1:4" x14ac:dyDescent="0.25">
      <c r="A18" s="346" t="s">
        <v>103</v>
      </c>
      <c r="B18" s="346" t="s">
        <v>104</v>
      </c>
      <c r="C18" s="343">
        <v>246131.59</v>
      </c>
      <c r="D18" s="343">
        <v>1118722.71</v>
      </c>
    </row>
    <row r="19" spans="1:4" x14ac:dyDescent="0.25">
      <c r="A19" s="346" t="s">
        <v>105</v>
      </c>
      <c r="B19" s="346" t="s">
        <v>106</v>
      </c>
      <c r="C19" s="343">
        <v>22535.56</v>
      </c>
      <c r="D19" s="343">
        <v>97763.55</v>
      </c>
    </row>
    <row r="20" spans="1:4" x14ac:dyDescent="0.25">
      <c r="A20" s="559" t="s">
        <v>107</v>
      </c>
      <c r="B20" s="560"/>
      <c r="C20" s="561">
        <f>SUM(C16:C19)</f>
        <v>936206.61</v>
      </c>
      <c r="D20" s="561">
        <f>SUM(D16:D19)</f>
        <v>4119783.4699999997</v>
      </c>
    </row>
    <row r="22" spans="1:4" x14ac:dyDescent="0.25">
      <c r="A22" s="346" t="s">
        <v>108</v>
      </c>
      <c r="B22" s="346" t="s">
        <v>109</v>
      </c>
      <c r="C22" s="343">
        <v>73488.960000000006</v>
      </c>
      <c r="D22" s="343">
        <v>376026.06</v>
      </c>
    </row>
    <row r="23" spans="1:4" x14ac:dyDescent="0.25">
      <c r="A23" s="346" t="s">
        <v>110</v>
      </c>
      <c r="B23" s="346" t="s">
        <v>111</v>
      </c>
      <c r="C23" s="343">
        <v>142012.38</v>
      </c>
      <c r="D23" s="343">
        <v>720539.79</v>
      </c>
    </row>
    <row r="24" spans="1:4" x14ac:dyDescent="0.25">
      <c r="A24" s="346" t="s">
        <v>112</v>
      </c>
      <c r="B24" s="346" t="s">
        <v>113</v>
      </c>
      <c r="C24" s="343">
        <v>60663.8</v>
      </c>
      <c r="D24" s="343">
        <v>282536</v>
      </c>
    </row>
    <row r="25" spans="1:4" x14ac:dyDescent="0.25">
      <c r="A25" s="346" t="s">
        <v>114</v>
      </c>
      <c r="B25" s="346" t="s">
        <v>115</v>
      </c>
      <c r="C25" s="343">
        <v>7575.86</v>
      </c>
      <c r="D25" s="343">
        <v>38081.449999999997</v>
      </c>
    </row>
    <row r="26" spans="1:4" x14ac:dyDescent="0.25">
      <c r="A26" s="559" t="s">
        <v>116</v>
      </c>
      <c r="B26" s="560"/>
      <c r="C26" s="561">
        <f>SUM(C22:C25)</f>
        <v>283741</v>
      </c>
      <c r="D26" s="561">
        <f>SUM(D22:D25)</f>
        <v>1417183.3</v>
      </c>
    </row>
    <row r="28" spans="1:4" x14ac:dyDescent="0.25">
      <c r="A28" s="346" t="s">
        <v>117</v>
      </c>
      <c r="B28" s="346" t="s">
        <v>118</v>
      </c>
      <c r="C28" s="343">
        <v>270.10000000000002</v>
      </c>
      <c r="D28" s="343">
        <v>810.3</v>
      </c>
    </row>
    <row r="29" spans="1:4" x14ac:dyDescent="0.25">
      <c r="A29" s="346" t="s">
        <v>119</v>
      </c>
      <c r="B29" s="346" t="s">
        <v>120</v>
      </c>
      <c r="C29" s="343">
        <v>514.4</v>
      </c>
      <c r="D29" s="343">
        <v>1543.2</v>
      </c>
    </row>
    <row r="30" spans="1:4" x14ac:dyDescent="0.25">
      <c r="A30" s="346" t="s">
        <v>121</v>
      </c>
      <c r="B30" s="346" t="s">
        <v>122</v>
      </c>
      <c r="C30" s="343">
        <v>188.5</v>
      </c>
      <c r="D30" s="343">
        <v>565.5</v>
      </c>
    </row>
    <row r="31" spans="1:4" x14ac:dyDescent="0.25">
      <c r="A31" s="346" t="s">
        <v>123</v>
      </c>
      <c r="B31" s="346" t="s">
        <v>124</v>
      </c>
      <c r="C31" s="343">
        <v>27</v>
      </c>
      <c r="D31" s="343">
        <v>81</v>
      </c>
    </row>
    <row r="32" spans="1:4" x14ac:dyDescent="0.25">
      <c r="A32" s="559" t="s">
        <v>125</v>
      </c>
      <c r="B32" s="560"/>
      <c r="C32" s="561">
        <f>SUM(C28:C31)</f>
        <v>1000</v>
      </c>
      <c r="D32" s="561">
        <f>SUM(D28:D31)</f>
        <v>3000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142504.32999999999</v>
      </c>
      <c r="D40" s="343">
        <v>13809699.51</v>
      </c>
    </row>
    <row r="41" spans="1:4" x14ac:dyDescent="0.25">
      <c r="A41" s="346" t="s">
        <v>128</v>
      </c>
      <c r="B41" s="346" t="s">
        <v>348</v>
      </c>
      <c r="C41" s="343">
        <v>275378.15999999997</v>
      </c>
      <c r="D41" s="343">
        <v>26304186.670000002</v>
      </c>
    </row>
    <row r="42" spans="1:4" x14ac:dyDescent="0.25">
      <c r="A42" s="346" t="s">
        <v>130</v>
      </c>
      <c r="B42" s="346" t="s">
        <v>349</v>
      </c>
      <c r="C42" s="343">
        <v>117634.08</v>
      </c>
      <c r="D42" s="343">
        <v>9427442.5299999993</v>
      </c>
    </row>
    <row r="43" spans="1:4" x14ac:dyDescent="0.25">
      <c r="A43" s="346" t="s">
        <v>132</v>
      </c>
      <c r="B43" s="346" t="s">
        <v>350</v>
      </c>
      <c r="C43" s="343">
        <v>14690.5</v>
      </c>
      <c r="D43" s="343">
        <v>1380891.27</v>
      </c>
    </row>
    <row r="44" spans="1:4" x14ac:dyDescent="0.25">
      <c r="A44" s="559" t="s">
        <v>134</v>
      </c>
      <c r="B44" s="560"/>
      <c r="C44" s="561">
        <f>SUM(C40:C43)</f>
        <v>550207.06999999995</v>
      </c>
      <c r="D44" s="561">
        <f>SUM(D40:D43)</f>
        <v>50922219.980000004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3597090</v>
      </c>
      <c r="D47" s="343">
        <v>323320823.74000001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3597090</v>
      </c>
      <c r="D50" s="561">
        <f>SUM(D46:D49)</f>
        <v>326526111.74000001</v>
      </c>
    </row>
    <row r="52" spans="1:4" x14ac:dyDescent="0.25">
      <c r="A52" s="346" t="s">
        <v>135</v>
      </c>
      <c r="B52" s="346" t="s">
        <v>385</v>
      </c>
      <c r="C52" s="343">
        <v>-149504079.09999999</v>
      </c>
      <c r="D52" s="343">
        <v>-919321400.51999998</v>
      </c>
    </row>
    <row r="53" spans="1:4" x14ac:dyDescent="0.25">
      <c r="A53" s="346" t="s">
        <v>137</v>
      </c>
      <c r="B53" s="346" t="s">
        <v>386</v>
      </c>
      <c r="C53" s="343">
        <v>-309277896</v>
      </c>
      <c r="D53" s="343">
        <v>-1871403006.3299999</v>
      </c>
    </row>
    <row r="54" spans="1:4" x14ac:dyDescent="0.25">
      <c r="A54" s="346" t="s">
        <v>139</v>
      </c>
      <c r="B54" s="346" t="s">
        <v>387</v>
      </c>
      <c r="C54" s="343">
        <v>-138956058.58000001</v>
      </c>
      <c r="D54" s="343">
        <v>-739374003.21000004</v>
      </c>
    </row>
    <row r="55" spans="1:4" x14ac:dyDescent="0.25">
      <c r="A55" s="346" t="s">
        <v>141</v>
      </c>
      <c r="B55" s="346" t="s">
        <v>388</v>
      </c>
      <c r="C55" s="343">
        <v>-11981520.25</v>
      </c>
      <c r="D55" s="343">
        <v>-64044885.200000003</v>
      </c>
    </row>
    <row r="56" spans="1:4" x14ac:dyDescent="0.25">
      <c r="A56" s="559" t="s">
        <v>143</v>
      </c>
      <c r="B56" s="560"/>
      <c r="C56" s="561">
        <f>SUM(C52:C55)</f>
        <v>-609719553.93000007</v>
      </c>
      <c r="D56" s="561">
        <f>SUM(D52:D55)</f>
        <v>-3594143295.2599998</v>
      </c>
    </row>
    <row r="58" spans="1:4" x14ac:dyDescent="0.25">
      <c r="A58" s="346" t="s">
        <v>351</v>
      </c>
      <c r="B58" s="346" t="s">
        <v>352</v>
      </c>
      <c r="C58" s="343">
        <v>-1397090.21</v>
      </c>
      <c r="D58" s="343">
        <v>-2996783.02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-1397090.21</v>
      </c>
      <c r="D60" s="343">
        <f>SUM(D58:D59)</f>
        <v>-2996783.02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-5148295.54</v>
      </c>
      <c r="D72" s="343">
        <v>-25988077.010000002</v>
      </c>
    </row>
    <row r="73" spans="1:4" x14ac:dyDescent="0.25">
      <c r="A73" s="346" t="s">
        <v>152</v>
      </c>
      <c r="B73" s="346" t="s">
        <v>41</v>
      </c>
      <c r="C73" s="343">
        <v>-1541709.45</v>
      </c>
      <c r="D73" s="343">
        <v>-8333757.5</v>
      </c>
    </row>
    <row r="74" spans="1:4" x14ac:dyDescent="0.25">
      <c r="A74" s="346" t="s">
        <v>153</v>
      </c>
      <c r="B74" s="346" t="s">
        <v>42</v>
      </c>
      <c r="C74" s="343">
        <v>-665077.28</v>
      </c>
      <c r="D74" s="343">
        <v>-3816240.76</v>
      </c>
    </row>
    <row r="75" spans="1:4" x14ac:dyDescent="0.25">
      <c r="A75" s="346" t="s">
        <v>154</v>
      </c>
      <c r="B75" s="346" t="s">
        <v>43</v>
      </c>
      <c r="C75" s="343">
        <v>-1127571.3600000001</v>
      </c>
      <c r="D75" s="343">
        <v>-5480866.8600000003</v>
      </c>
    </row>
    <row r="76" spans="1:4" x14ac:dyDescent="0.25">
      <c r="A76" s="559" t="s">
        <v>155</v>
      </c>
      <c r="B76" s="560"/>
      <c r="C76" s="561">
        <f>SUM(C72:C75)</f>
        <v>-8482653.6300000008</v>
      </c>
      <c r="D76" s="561">
        <f>SUM(D72:D75)</f>
        <v>-43618942.130000003</v>
      </c>
    </row>
    <row r="78" spans="1:4" x14ac:dyDescent="0.25">
      <c r="A78" s="346" t="s">
        <v>156</v>
      </c>
      <c r="B78" s="346" t="s">
        <v>394</v>
      </c>
      <c r="C78" s="343">
        <v>1288283.1499999999</v>
      </c>
      <c r="D78" s="343">
        <v>6834089.8799999999</v>
      </c>
    </row>
    <row r="79" spans="1:4" x14ac:dyDescent="0.25">
      <c r="A79" s="346" t="s">
        <v>158</v>
      </c>
      <c r="B79" s="346" t="s">
        <v>395</v>
      </c>
      <c r="C79" s="343">
        <v>382625.87</v>
      </c>
      <c r="D79" s="343">
        <v>1934190.74</v>
      </c>
    </row>
    <row r="80" spans="1:4" x14ac:dyDescent="0.25">
      <c r="A80" s="346" t="s">
        <v>160</v>
      </c>
      <c r="B80" s="346" t="s">
        <v>396</v>
      </c>
      <c r="C80" s="343">
        <v>43755.58</v>
      </c>
      <c r="D80" s="343">
        <v>303509.12</v>
      </c>
    </row>
    <row r="81" spans="1:4" x14ac:dyDescent="0.25">
      <c r="A81" s="346" t="s">
        <v>162</v>
      </c>
      <c r="B81" s="346" t="s">
        <v>397</v>
      </c>
      <c r="C81" s="343">
        <v>83984.38</v>
      </c>
      <c r="D81" s="343">
        <v>452529.7</v>
      </c>
    </row>
    <row r="82" spans="1:4" x14ac:dyDescent="0.25">
      <c r="A82" s="559" t="s">
        <v>164</v>
      </c>
      <c r="B82" s="560"/>
      <c r="C82" s="561">
        <f>SUM(C78:C81)</f>
        <v>1798648.98</v>
      </c>
      <c r="D82" s="561">
        <f>SUM(D78:D81)</f>
        <v>9524319.4399999976</v>
      </c>
    </row>
    <row r="84" spans="1:4" x14ac:dyDescent="0.25">
      <c r="A84" s="559" t="s">
        <v>31</v>
      </c>
      <c r="B84" s="560"/>
      <c r="C84" s="561">
        <f>C14+C20+C26+C32+C44+C56+C62+C70+C76+C82+C50+C38+C60</f>
        <v>143180875.53999996</v>
      </c>
      <c r="D84" s="561">
        <f>D14+D20+D26+D32+D44+D56+D62+D70+D76+D82+D50+D38+D60</f>
        <v>381626675.02000028</v>
      </c>
    </row>
  </sheetData>
  <pageMargins left="0.7" right="0.7" top="0.75" bottom="0.75" header="0.3" footer="0.3"/>
  <pageSetup scale="65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10" workbookViewId="0">
      <selection activeCell="C44" sqref="C44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71" t="s">
        <v>86</v>
      </c>
      <c r="C2" s="572"/>
      <c r="D2" s="572"/>
    </row>
    <row r="3" spans="1:4" x14ac:dyDescent="0.25">
      <c r="B3" s="555" t="s">
        <v>413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414</v>
      </c>
      <c r="C5" s="342"/>
      <c r="D5" s="342"/>
    </row>
    <row r="7" spans="1:4" x14ac:dyDescent="0.25">
      <c r="B7" s="344" t="s">
        <v>30</v>
      </c>
      <c r="C7" s="345" t="s">
        <v>177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195234817.96000001</v>
      </c>
      <c r="D9" s="347">
        <v>1158911798.6400001</v>
      </c>
    </row>
    <row r="10" spans="1:4" x14ac:dyDescent="0.25">
      <c r="A10" s="346" t="s">
        <v>94</v>
      </c>
      <c r="B10" s="346" t="s">
        <v>35</v>
      </c>
      <c r="C10" s="343">
        <v>377278094.77999997</v>
      </c>
      <c r="D10" s="343">
        <v>2223507403.5100002</v>
      </c>
    </row>
    <row r="11" spans="1:4" x14ac:dyDescent="0.25">
      <c r="A11" s="346" t="s">
        <v>95</v>
      </c>
      <c r="B11" s="346" t="s">
        <v>36</v>
      </c>
      <c r="C11" s="343">
        <v>161162950.72</v>
      </c>
      <c r="D11" s="343">
        <v>883575916.24000001</v>
      </c>
    </row>
    <row r="12" spans="1:4" x14ac:dyDescent="0.25">
      <c r="A12" s="346" t="s">
        <v>96</v>
      </c>
      <c r="B12" s="346" t="s">
        <v>37</v>
      </c>
      <c r="C12" s="343">
        <v>20126523.239999998</v>
      </c>
      <c r="D12" s="343">
        <v>117680345.81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753802386.70000005</v>
      </c>
      <c r="D14" s="561">
        <f>SUM(D9:D13)</f>
        <v>4383675464.2000008</v>
      </c>
    </row>
    <row r="16" spans="1:4" x14ac:dyDescent="0.25">
      <c r="A16" s="346" t="s">
        <v>99</v>
      </c>
      <c r="B16" s="346" t="s">
        <v>100</v>
      </c>
      <c r="C16" s="343">
        <v>243594.76</v>
      </c>
      <c r="D16" s="343">
        <v>1239453.47</v>
      </c>
    </row>
    <row r="17" spans="1:4" x14ac:dyDescent="0.25">
      <c r="A17" s="346" t="s">
        <v>101</v>
      </c>
      <c r="B17" s="346" t="s">
        <v>102</v>
      </c>
      <c r="C17" s="343">
        <v>473304.15</v>
      </c>
      <c r="D17" s="343">
        <v>2380742.65</v>
      </c>
    </row>
    <row r="18" spans="1:4" x14ac:dyDescent="0.25">
      <c r="A18" s="346" t="s">
        <v>103</v>
      </c>
      <c r="B18" s="346" t="s">
        <v>104</v>
      </c>
      <c r="C18" s="343">
        <v>219801.27</v>
      </c>
      <c r="D18" s="343">
        <v>1338523.98</v>
      </c>
    </row>
    <row r="19" spans="1:4" x14ac:dyDescent="0.25">
      <c r="A19" s="346" t="s">
        <v>105</v>
      </c>
      <c r="B19" s="346" t="s">
        <v>106</v>
      </c>
      <c r="C19" s="343">
        <v>24585.95</v>
      </c>
      <c r="D19" s="343">
        <v>122349.5</v>
      </c>
    </row>
    <row r="20" spans="1:4" x14ac:dyDescent="0.25">
      <c r="A20" s="559" t="s">
        <v>107</v>
      </c>
      <c r="B20" s="560"/>
      <c r="C20" s="561">
        <f>SUM(C16:C19)</f>
        <v>961286.13</v>
      </c>
      <c r="D20" s="561">
        <f>SUM(D16:D19)</f>
        <v>5081069.5999999996</v>
      </c>
    </row>
    <row r="22" spans="1:4" x14ac:dyDescent="0.25">
      <c r="A22" s="346" t="s">
        <v>108</v>
      </c>
      <c r="B22" s="346" t="s">
        <v>109</v>
      </c>
      <c r="C22" s="343">
        <v>68924.81</v>
      </c>
      <c r="D22" s="343">
        <v>444950.87</v>
      </c>
    </row>
    <row r="23" spans="1:4" x14ac:dyDescent="0.25">
      <c r="A23" s="346" t="s">
        <v>110</v>
      </c>
      <c r="B23" s="346" t="s">
        <v>111</v>
      </c>
      <c r="C23" s="343">
        <v>133192.6</v>
      </c>
      <c r="D23" s="343">
        <v>853732.39</v>
      </c>
    </row>
    <row r="24" spans="1:4" x14ac:dyDescent="0.25">
      <c r="A24" s="346" t="s">
        <v>112</v>
      </c>
      <c r="B24" s="346" t="s">
        <v>113</v>
      </c>
      <c r="C24" s="343">
        <v>56896.28</v>
      </c>
      <c r="D24" s="343">
        <v>339432.28</v>
      </c>
    </row>
    <row r="25" spans="1:4" x14ac:dyDescent="0.25">
      <c r="A25" s="346" t="s">
        <v>114</v>
      </c>
      <c r="B25" s="346" t="s">
        <v>115</v>
      </c>
      <c r="C25" s="343">
        <v>7105.4</v>
      </c>
      <c r="D25" s="343">
        <v>45186.85</v>
      </c>
    </row>
    <row r="26" spans="1:4" x14ac:dyDescent="0.25">
      <c r="A26" s="559" t="s">
        <v>116</v>
      </c>
      <c r="B26" s="560"/>
      <c r="C26" s="561">
        <f>SUM(C22:C25)</f>
        <v>266119.09000000003</v>
      </c>
      <c r="D26" s="561">
        <f>SUM(D22:D25)</f>
        <v>1683302.3900000001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810.3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1543.2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565.5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81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3000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1973912.83</v>
      </c>
      <c r="D40" s="343">
        <v>15783612.34</v>
      </c>
    </row>
    <row r="41" spans="1:4" x14ac:dyDescent="0.25">
      <c r="A41" s="346" t="s">
        <v>128</v>
      </c>
      <c r="B41" s="346" t="s">
        <v>348</v>
      </c>
      <c r="C41" s="343">
        <v>3814453.19</v>
      </c>
      <c r="D41" s="343">
        <v>30118639.859999999</v>
      </c>
    </row>
    <row r="42" spans="1:4" x14ac:dyDescent="0.25">
      <c r="A42" s="346" t="s">
        <v>130</v>
      </c>
      <c r="B42" s="346" t="s">
        <v>349</v>
      </c>
      <c r="C42" s="343">
        <v>1406552.9</v>
      </c>
      <c r="D42" s="343">
        <v>10833995.43</v>
      </c>
    </row>
    <row r="43" spans="1:4" x14ac:dyDescent="0.25">
      <c r="A43" s="346" t="s">
        <v>132</v>
      </c>
      <c r="B43" s="346" t="s">
        <v>350</v>
      </c>
      <c r="C43" s="343">
        <v>203488.32</v>
      </c>
      <c r="D43" s="343">
        <v>1584379.59</v>
      </c>
    </row>
    <row r="44" spans="1:4" x14ac:dyDescent="0.25">
      <c r="A44" s="559" t="s">
        <v>134</v>
      </c>
      <c r="B44" s="560"/>
      <c r="C44" s="561">
        <f>SUM(C40:C43)</f>
        <v>7398407.2400000002</v>
      </c>
      <c r="D44" s="561">
        <f>SUM(D40:D43)</f>
        <v>58320627.220000006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62853258</v>
      </c>
      <c r="D47" s="343">
        <v>386174081.74000001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62853258</v>
      </c>
      <c r="D50" s="561">
        <f>SUM(D46:D49)</f>
        <v>389379369.74000001</v>
      </c>
    </row>
    <row r="52" spans="1:4" x14ac:dyDescent="0.25">
      <c r="A52" s="346" t="s">
        <v>135</v>
      </c>
      <c r="B52" s="346" t="s">
        <v>385</v>
      </c>
      <c r="C52" s="343">
        <v>-172372188.08000001</v>
      </c>
      <c r="D52" s="343">
        <v>-1091693588.5999999</v>
      </c>
    </row>
    <row r="53" spans="1:4" x14ac:dyDescent="0.25">
      <c r="A53" s="346" t="s">
        <v>137</v>
      </c>
      <c r="B53" s="346" t="s">
        <v>386</v>
      </c>
      <c r="C53" s="343">
        <v>-325176618.51999998</v>
      </c>
      <c r="D53" s="343">
        <v>-2196579624.8499999</v>
      </c>
    </row>
    <row r="54" spans="1:4" x14ac:dyDescent="0.25">
      <c r="A54" s="346" t="s">
        <v>139</v>
      </c>
      <c r="B54" s="346" t="s">
        <v>387</v>
      </c>
      <c r="C54" s="343">
        <v>-136741102.43000001</v>
      </c>
      <c r="D54" s="343">
        <v>-876115105.63999999</v>
      </c>
    </row>
    <row r="55" spans="1:4" x14ac:dyDescent="0.25">
      <c r="A55" s="346" t="s">
        <v>141</v>
      </c>
      <c r="B55" s="346" t="s">
        <v>388</v>
      </c>
      <c r="C55" s="343">
        <v>-13904580.960000001</v>
      </c>
      <c r="D55" s="343">
        <v>-77949466.159999996</v>
      </c>
    </row>
    <row r="56" spans="1:4" x14ac:dyDescent="0.25">
      <c r="A56" s="559" t="s">
        <v>143</v>
      </c>
      <c r="B56" s="560"/>
      <c r="C56" s="561">
        <f>SUM(C52:C55)</f>
        <v>-648194489.99000001</v>
      </c>
      <c r="D56" s="561">
        <f>SUM(D52:D55)</f>
        <v>-4242337785.2499995</v>
      </c>
    </row>
    <row r="58" spans="1:4" x14ac:dyDescent="0.25">
      <c r="A58" s="346" t="s">
        <v>351</v>
      </c>
      <c r="B58" s="346" t="s">
        <v>352</v>
      </c>
      <c r="C58" s="343">
        <v>-639329.41</v>
      </c>
      <c r="D58" s="343">
        <v>-3636112.43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-639329.41</v>
      </c>
      <c r="D60" s="343">
        <f>SUM(D58:D59)</f>
        <v>-3636112.43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-6117663.5300000003</v>
      </c>
      <c r="D72" s="343">
        <v>-32105740.539999999</v>
      </c>
    </row>
    <row r="73" spans="1:4" x14ac:dyDescent="0.25">
      <c r="A73" s="346" t="s">
        <v>152</v>
      </c>
      <c r="B73" s="346" t="s">
        <v>41</v>
      </c>
      <c r="C73" s="343">
        <v>-2157131.21</v>
      </c>
      <c r="D73" s="343">
        <v>-10490888.710000001</v>
      </c>
    </row>
    <row r="74" spans="1:4" x14ac:dyDescent="0.25">
      <c r="A74" s="346" t="s">
        <v>153</v>
      </c>
      <c r="B74" s="346" t="s">
        <v>42</v>
      </c>
      <c r="C74" s="343">
        <v>-1029505.05</v>
      </c>
      <c r="D74" s="343">
        <v>-4845745.8099999996</v>
      </c>
    </row>
    <row r="75" spans="1:4" x14ac:dyDescent="0.25">
      <c r="A75" s="346" t="s">
        <v>154</v>
      </c>
      <c r="B75" s="346" t="s">
        <v>43</v>
      </c>
      <c r="C75" s="343">
        <v>-1209172.92</v>
      </c>
      <c r="D75" s="343">
        <v>-6690039.7800000003</v>
      </c>
    </row>
    <row r="76" spans="1:4" x14ac:dyDescent="0.25">
      <c r="A76" s="559" t="s">
        <v>155</v>
      </c>
      <c r="B76" s="560"/>
      <c r="C76" s="561">
        <f>SUM(C72:C75)</f>
        <v>-10513472.710000001</v>
      </c>
      <c r="D76" s="561">
        <f>SUM(D72:D75)</f>
        <v>-54132414.840000004</v>
      </c>
    </row>
    <row r="78" spans="1:4" x14ac:dyDescent="0.25">
      <c r="A78" s="346" t="s">
        <v>156</v>
      </c>
      <c r="B78" s="346" t="s">
        <v>394</v>
      </c>
      <c r="C78" s="343">
        <v>1429775.37</v>
      </c>
      <c r="D78" s="343">
        <v>8263865.25</v>
      </c>
    </row>
    <row r="79" spans="1:4" x14ac:dyDescent="0.25">
      <c r="A79" s="346" t="s">
        <v>158</v>
      </c>
      <c r="B79" s="346" t="s">
        <v>395</v>
      </c>
      <c r="C79" s="343">
        <v>424776.62</v>
      </c>
      <c r="D79" s="343">
        <v>2358967.36</v>
      </c>
    </row>
    <row r="80" spans="1:4" x14ac:dyDescent="0.25">
      <c r="A80" s="346" t="s">
        <v>160</v>
      </c>
      <c r="B80" s="346" t="s">
        <v>396</v>
      </c>
      <c r="C80" s="343">
        <v>48465.15</v>
      </c>
      <c r="D80" s="343">
        <v>351974.27</v>
      </c>
    </row>
    <row r="81" spans="1:4" x14ac:dyDescent="0.25">
      <c r="A81" s="346" t="s">
        <v>162</v>
      </c>
      <c r="B81" s="346" t="s">
        <v>397</v>
      </c>
      <c r="C81" s="343">
        <v>93199.18</v>
      </c>
      <c r="D81" s="343">
        <v>545728.88</v>
      </c>
    </row>
    <row r="82" spans="1:4" x14ac:dyDescent="0.25">
      <c r="A82" s="559" t="s">
        <v>164</v>
      </c>
      <c r="B82" s="560"/>
      <c r="C82" s="561">
        <f>SUM(C78:C81)</f>
        <v>1996216.3200000001</v>
      </c>
      <c r="D82" s="561">
        <f>SUM(D78:D81)</f>
        <v>11520535.76</v>
      </c>
    </row>
    <row r="84" spans="1:4" x14ac:dyDescent="0.25">
      <c r="A84" s="559" t="s">
        <v>31</v>
      </c>
      <c r="B84" s="560"/>
      <c r="C84" s="561">
        <f>C14+C20+C26+C32+C44+C56+C62+C70+C76+C82+C50+C38+C60</f>
        <v>167930381.37000006</v>
      </c>
      <c r="D84" s="561">
        <f>D14+D20+D26+D32+D44+D56+D62+D70+D76+D82+D50+D38+D60</f>
        <v>549557056.39000225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2" workbookViewId="0">
      <selection activeCell="D42" sqref="D4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415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416</v>
      </c>
      <c r="C5" s="342"/>
      <c r="D5" s="342"/>
    </row>
    <row r="7" spans="1:4" x14ac:dyDescent="0.25">
      <c r="B7" s="344" t="s">
        <v>30</v>
      </c>
      <c r="C7" s="345" t="s">
        <v>182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202707125.13999999</v>
      </c>
      <c r="D9" s="347">
        <v>1361618923.78</v>
      </c>
    </row>
    <row r="10" spans="1:4" x14ac:dyDescent="0.25">
      <c r="A10" s="346" t="s">
        <v>94</v>
      </c>
      <c r="B10" s="346" t="s">
        <v>35</v>
      </c>
      <c r="C10" s="343">
        <v>387902901.73000002</v>
      </c>
      <c r="D10" s="343">
        <v>2611410305.2399998</v>
      </c>
    </row>
    <row r="11" spans="1:4" x14ac:dyDescent="0.25">
      <c r="A11" s="346" t="s">
        <v>95</v>
      </c>
      <c r="B11" s="346" t="s">
        <v>36</v>
      </c>
      <c r="C11" s="343">
        <v>146534357.58000001</v>
      </c>
      <c r="D11" s="343">
        <v>1030110273.8200001</v>
      </c>
    </row>
    <row r="12" spans="1:4" x14ac:dyDescent="0.25">
      <c r="A12" s="346" t="s">
        <v>96</v>
      </c>
      <c r="B12" s="346" t="s">
        <v>37</v>
      </c>
      <c r="C12" s="343">
        <v>20922650.899999999</v>
      </c>
      <c r="D12" s="343">
        <v>138602996.71000001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758067035.35000002</v>
      </c>
      <c r="D14" s="561">
        <f>SUM(D9:D13)</f>
        <v>5141742499.5499992</v>
      </c>
    </row>
    <row r="16" spans="1:4" x14ac:dyDescent="0.25">
      <c r="A16" s="346" t="s">
        <v>99</v>
      </c>
      <c r="B16" s="346" t="s">
        <v>100</v>
      </c>
      <c r="C16" s="343">
        <v>201233.27</v>
      </c>
      <c r="D16" s="343">
        <v>1440686.74</v>
      </c>
    </row>
    <row r="17" spans="1:4" x14ac:dyDescent="0.25">
      <c r="A17" s="346" t="s">
        <v>101</v>
      </c>
      <c r="B17" s="346" t="s">
        <v>102</v>
      </c>
      <c r="C17" s="343">
        <v>382788.1</v>
      </c>
      <c r="D17" s="343">
        <v>2763530.75</v>
      </c>
    </row>
    <row r="18" spans="1:4" x14ac:dyDescent="0.25">
      <c r="A18" s="346" t="s">
        <v>103</v>
      </c>
      <c r="B18" s="346" t="s">
        <v>104</v>
      </c>
      <c r="C18" s="343">
        <v>206897.59</v>
      </c>
      <c r="D18" s="343">
        <v>1545421.57</v>
      </c>
    </row>
    <row r="19" spans="1:4" x14ac:dyDescent="0.25">
      <c r="A19" s="346" t="s">
        <v>105</v>
      </c>
      <c r="B19" s="346" t="s">
        <v>106</v>
      </c>
      <c r="C19" s="343">
        <v>20450.64</v>
      </c>
      <c r="D19" s="343">
        <v>142800.14000000001</v>
      </c>
    </row>
    <row r="20" spans="1:4" x14ac:dyDescent="0.25">
      <c r="A20" s="559" t="s">
        <v>107</v>
      </c>
      <c r="B20" s="560"/>
      <c r="C20" s="561">
        <f>SUM(C16:C19)</f>
        <v>811369.6</v>
      </c>
      <c r="D20" s="561">
        <f>SUM(D16:D19)</f>
        <v>5892439.2000000002</v>
      </c>
    </row>
    <row r="22" spans="1:4" x14ac:dyDescent="0.25">
      <c r="A22" s="346" t="s">
        <v>108</v>
      </c>
      <c r="B22" s="346" t="s">
        <v>109</v>
      </c>
      <c r="C22" s="343">
        <v>3546.92</v>
      </c>
      <c r="D22" s="343">
        <v>448497.79</v>
      </c>
    </row>
    <row r="23" spans="1:4" x14ac:dyDescent="0.25">
      <c r="A23" s="346" t="s">
        <v>110</v>
      </c>
      <c r="B23" s="346" t="s">
        <v>111</v>
      </c>
      <c r="C23" s="343">
        <v>6787.36</v>
      </c>
      <c r="D23" s="343">
        <v>860519.75</v>
      </c>
    </row>
    <row r="24" spans="1:4" x14ac:dyDescent="0.25">
      <c r="A24" s="346" t="s">
        <v>112</v>
      </c>
      <c r="B24" s="346" t="s">
        <v>113</v>
      </c>
      <c r="C24" s="343">
        <v>2564.0100000000002</v>
      </c>
      <c r="D24" s="343">
        <v>341996.29</v>
      </c>
    </row>
    <row r="25" spans="1:4" x14ac:dyDescent="0.25">
      <c r="A25" s="346" t="s">
        <v>114</v>
      </c>
      <c r="B25" s="346" t="s">
        <v>115</v>
      </c>
      <c r="C25" s="343">
        <v>366</v>
      </c>
      <c r="D25" s="343">
        <v>45552.85</v>
      </c>
    </row>
    <row r="26" spans="1:4" x14ac:dyDescent="0.25">
      <c r="A26" s="559" t="s">
        <v>116</v>
      </c>
      <c r="B26" s="560"/>
      <c r="C26" s="561">
        <f>SUM(C22:C25)</f>
        <v>13264.289999999999</v>
      </c>
      <c r="D26" s="561">
        <f>SUM(D22:D25)</f>
        <v>1696566.6800000002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810.3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1543.2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565.5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81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3000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76790.69</v>
      </c>
      <c r="D40" s="343">
        <v>12557583.23</v>
      </c>
    </row>
    <row r="41" spans="1:4" x14ac:dyDescent="0.25">
      <c r="A41" s="346" t="s">
        <v>128</v>
      </c>
      <c r="B41" s="346" t="s">
        <v>348</v>
      </c>
      <c r="C41" s="343">
        <v>148805.47</v>
      </c>
      <c r="D41" s="343">
        <v>23884969.23</v>
      </c>
    </row>
    <row r="42" spans="1:4" x14ac:dyDescent="0.25">
      <c r="A42" s="346" t="s">
        <v>130</v>
      </c>
      <c r="B42" s="346" t="s">
        <v>349</v>
      </c>
      <c r="C42" s="343">
        <v>65638.710000000006</v>
      </c>
      <c r="D42" s="343">
        <v>8173213.7800000003</v>
      </c>
    </row>
    <row r="43" spans="1:4" x14ac:dyDescent="0.25">
      <c r="A43" s="346" t="s">
        <v>132</v>
      </c>
      <c r="B43" s="346" t="s">
        <v>350</v>
      </c>
      <c r="C43" s="343">
        <v>7913.48</v>
      </c>
      <c r="D43" s="343">
        <v>1251809.33</v>
      </c>
    </row>
    <row r="44" spans="1:4" x14ac:dyDescent="0.25">
      <c r="A44" s="559" t="s">
        <v>134</v>
      </c>
      <c r="B44" s="560"/>
      <c r="C44" s="561">
        <f>SUM(C40:C43)</f>
        <v>299148.34999999998</v>
      </c>
      <c r="D44" s="561">
        <f>SUM(D40:D43)</f>
        <v>45867575.57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16052306</v>
      </c>
      <c r="D47" s="343">
        <v>402226387.74000001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16052306</v>
      </c>
      <c r="D50" s="561">
        <f>SUM(D46:D49)</f>
        <v>405431675.74000001</v>
      </c>
    </row>
    <row r="52" spans="1:4" x14ac:dyDescent="0.25">
      <c r="A52" s="346" t="s">
        <v>135</v>
      </c>
      <c r="B52" s="346" t="s">
        <v>385</v>
      </c>
      <c r="C52" s="343">
        <v>-162293487.21000001</v>
      </c>
      <c r="D52" s="343">
        <v>-1253987075.8099999</v>
      </c>
    </row>
    <row r="53" spans="1:4" x14ac:dyDescent="0.25">
      <c r="A53" s="346" t="s">
        <v>137</v>
      </c>
      <c r="B53" s="346" t="s">
        <v>386</v>
      </c>
      <c r="C53" s="343">
        <v>-308255323.92000002</v>
      </c>
      <c r="D53" s="343">
        <v>-2504834948.77</v>
      </c>
    </row>
    <row r="54" spans="1:4" x14ac:dyDescent="0.25">
      <c r="A54" s="346" t="s">
        <v>139</v>
      </c>
      <c r="B54" s="346" t="s">
        <v>387</v>
      </c>
      <c r="C54" s="343">
        <v>-135684030.72</v>
      </c>
      <c r="D54" s="343">
        <v>-1011799136.36</v>
      </c>
    </row>
    <row r="55" spans="1:4" x14ac:dyDescent="0.25">
      <c r="A55" s="346" t="s">
        <v>141</v>
      </c>
      <c r="B55" s="346" t="s">
        <v>388</v>
      </c>
      <c r="C55" s="343">
        <v>-13401548.880000001</v>
      </c>
      <c r="D55" s="343">
        <v>-91351015.040000007</v>
      </c>
    </row>
    <row r="56" spans="1:4" x14ac:dyDescent="0.25">
      <c r="A56" s="559" t="s">
        <v>143</v>
      </c>
      <c r="B56" s="560"/>
      <c r="C56" s="561">
        <f>SUM(C52:C55)</f>
        <v>-619634390.73000002</v>
      </c>
      <c r="D56" s="561">
        <f>SUM(D52:D55)</f>
        <v>-4861972175.9799995</v>
      </c>
    </row>
    <row r="58" spans="1:4" x14ac:dyDescent="0.25">
      <c r="A58" s="346" t="s">
        <v>351</v>
      </c>
      <c r="B58" s="346" t="s">
        <v>352</v>
      </c>
      <c r="C58" s="343">
        <v>36233.29</v>
      </c>
      <c r="D58" s="343">
        <v>-3599879.14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36233.29</v>
      </c>
      <c r="D60" s="343">
        <f>SUM(D58:D59)</f>
        <v>-3599879.14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-6268748.9400000004</v>
      </c>
      <c r="D72" s="343">
        <v>-38374489.479999997</v>
      </c>
    </row>
    <row r="73" spans="1:4" x14ac:dyDescent="0.25">
      <c r="A73" s="346" t="s">
        <v>152</v>
      </c>
      <c r="B73" s="346" t="s">
        <v>41</v>
      </c>
      <c r="C73" s="343">
        <v>-2291490.94</v>
      </c>
      <c r="D73" s="343">
        <v>-12782379.65</v>
      </c>
    </row>
    <row r="74" spans="1:4" x14ac:dyDescent="0.25">
      <c r="A74" s="346" t="s">
        <v>153</v>
      </c>
      <c r="B74" s="346" t="s">
        <v>42</v>
      </c>
      <c r="C74" s="343">
        <v>-3212802.02</v>
      </c>
      <c r="D74" s="343">
        <v>-8058547.8300000001</v>
      </c>
    </row>
    <row r="75" spans="1:4" x14ac:dyDescent="0.25">
      <c r="A75" s="346" t="s">
        <v>154</v>
      </c>
      <c r="B75" s="346" t="s">
        <v>43</v>
      </c>
      <c r="C75" s="343">
        <v>-1433576.58</v>
      </c>
      <c r="D75" s="343">
        <v>-8123616.3600000003</v>
      </c>
    </row>
    <row r="76" spans="1:4" x14ac:dyDescent="0.25">
      <c r="A76" s="559" t="s">
        <v>155</v>
      </c>
      <c r="B76" s="560"/>
      <c r="C76" s="561">
        <f>SUM(C72:C75)</f>
        <v>-13206618.48</v>
      </c>
      <c r="D76" s="561">
        <f>SUM(D72:D75)</f>
        <v>-67339033.319999993</v>
      </c>
    </row>
    <row r="78" spans="1:4" x14ac:dyDescent="0.25">
      <c r="A78" s="346" t="s">
        <v>156</v>
      </c>
      <c r="B78" s="346" t="s">
        <v>394</v>
      </c>
      <c r="C78" s="343">
        <v>1367095.43</v>
      </c>
      <c r="D78" s="343">
        <v>9630960.6799999997</v>
      </c>
    </row>
    <row r="79" spans="1:4" x14ac:dyDescent="0.25">
      <c r="A79" s="346" t="s">
        <v>158</v>
      </c>
      <c r="B79" s="346" t="s">
        <v>395</v>
      </c>
      <c r="C79" s="343">
        <v>421394.9</v>
      </c>
      <c r="D79" s="343">
        <v>2780362.26</v>
      </c>
    </row>
    <row r="80" spans="1:4" x14ac:dyDescent="0.25">
      <c r="A80" s="346" t="s">
        <v>160</v>
      </c>
      <c r="B80" s="346" t="s">
        <v>396</v>
      </c>
      <c r="C80" s="343">
        <v>31348.34</v>
      </c>
      <c r="D80" s="343">
        <v>383322.61</v>
      </c>
    </row>
    <row r="81" spans="1:4" x14ac:dyDescent="0.25">
      <c r="A81" s="346" t="s">
        <v>162</v>
      </c>
      <c r="B81" s="346" t="s">
        <v>397</v>
      </c>
      <c r="C81" s="343">
        <v>95644.49</v>
      </c>
      <c r="D81" s="343">
        <v>641373.37</v>
      </c>
    </row>
    <row r="82" spans="1:4" x14ac:dyDescent="0.25">
      <c r="A82" s="559" t="s">
        <v>164</v>
      </c>
      <c r="B82" s="560"/>
      <c r="C82" s="561">
        <f>SUM(C78:C81)</f>
        <v>1915483.1600000001</v>
      </c>
      <c r="D82" s="561">
        <f>SUM(D78:D81)</f>
        <v>13436018.919999998</v>
      </c>
    </row>
    <row r="84" spans="1:4" x14ac:dyDescent="0.25">
      <c r="A84" s="559" t="s">
        <v>31</v>
      </c>
      <c r="B84" s="560"/>
      <c r="C84" s="561">
        <f>C14+C20+C26+C32+C44+C56+C62+C70+C76+C82+C50+C38+C60</f>
        <v>144353830.83000001</v>
      </c>
      <c r="D84" s="561">
        <f>D14+D20+D26+D32+D44+D56+D62+D70+D76+D82+D50+D38+D60</f>
        <v>681158687.21999955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zoomScaleNormal="100" workbookViewId="0">
      <selection activeCell="B10" sqref="B10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73" t="s">
        <v>86</v>
      </c>
      <c r="C2" s="574"/>
      <c r="D2" s="574"/>
    </row>
    <row r="3" spans="1:4" x14ac:dyDescent="0.25">
      <c r="B3" s="555" t="s">
        <v>417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418</v>
      </c>
      <c r="C5" s="342"/>
      <c r="D5" s="342"/>
    </row>
    <row r="7" spans="1:4" x14ac:dyDescent="0.25">
      <c r="B7" s="344" t="s">
        <v>30</v>
      </c>
      <c r="C7" s="345" t="s">
        <v>185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201117073.81</v>
      </c>
      <c r="D9" s="347">
        <v>1562735997.5899999</v>
      </c>
    </row>
    <row r="10" spans="1:4" x14ac:dyDescent="0.25">
      <c r="A10" s="346" t="s">
        <v>94</v>
      </c>
      <c r="B10" s="346" t="s">
        <v>35</v>
      </c>
      <c r="C10" s="343">
        <v>384860159.56999999</v>
      </c>
      <c r="D10" s="343">
        <v>2996270464.8099999</v>
      </c>
    </row>
    <row r="11" spans="1:4" x14ac:dyDescent="0.25">
      <c r="A11" s="346" t="s">
        <v>95</v>
      </c>
      <c r="B11" s="346" t="s">
        <v>36</v>
      </c>
      <c r="C11" s="343">
        <v>145384930.33000001</v>
      </c>
      <c r="D11" s="343">
        <v>1175495204.1500001</v>
      </c>
    </row>
    <row r="12" spans="1:4" x14ac:dyDescent="0.25">
      <c r="A12" s="346" t="s">
        <v>96</v>
      </c>
      <c r="B12" s="346" t="s">
        <v>37</v>
      </c>
      <c r="C12" s="343">
        <v>20758531.16</v>
      </c>
      <c r="D12" s="343">
        <v>159361527.87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752120694.87</v>
      </c>
      <c r="D14" s="561">
        <f>SUM(D9:D13)</f>
        <v>5893863194.4199991</v>
      </c>
    </row>
    <row r="16" spans="1:4" x14ac:dyDescent="0.25">
      <c r="A16" s="346" t="s">
        <v>99</v>
      </c>
      <c r="B16" s="346" t="s">
        <v>100</v>
      </c>
      <c r="C16" s="343">
        <v>189578.18</v>
      </c>
      <c r="D16" s="343">
        <v>1630264.92</v>
      </c>
    </row>
    <row r="17" spans="1:4" x14ac:dyDescent="0.25">
      <c r="A17" s="346" t="s">
        <v>101</v>
      </c>
      <c r="B17" s="346" t="s">
        <v>102</v>
      </c>
      <c r="C17" s="343">
        <v>362779.05</v>
      </c>
      <c r="D17" s="343">
        <v>3126309.8</v>
      </c>
    </row>
    <row r="18" spans="1:4" x14ac:dyDescent="0.25">
      <c r="A18" s="346" t="s">
        <v>103</v>
      </c>
      <c r="B18" s="346" t="s">
        <v>104</v>
      </c>
      <c r="C18" s="343">
        <v>213812.62</v>
      </c>
      <c r="D18" s="343">
        <v>1759234.19</v>
      </c>
    </row>
    <row r="19" spans="1:4" x14ac:dyDescent="0.25">
      <c r="A19" s="346" t="s">
        <v>105</v>
      </c>
      <c r="B19" s="346" t="s">
        <v>106</v>
      </c>
      <c r="C19" s="343">
        <v>19567.47</v>
      </c>
      <c r="D19" s="343">
        <v>162367.60999999999</v>
      </c>
    </row>
    <row r="20" spans="1:4" x14ac:dyDescent="0.25">
      <c r="A20" s="559" t="s">
        <v>107</v>
      </c>
      <c r="B20" s="560"/>
      <c r="C20" s="561">
        <f>SUM(C16:C19)</f>
        <v>785737.32</v>
      </c>
      <c r="D20" s="561">
        <f>SUM(D16:D19)</f>
        <v>6678176.5200000005</v>
      </c>
    </row>
    <row r="22" spans="1:4" x14ac:dyDescent="0.25">
      <c r="A22" s="346" t="s">
        <v>108</v>
      </c>
      <c r="B22" s="346" t="s">
        <v>109</v>
      </c>
      <c r="C22" s="343">
        <v>47958.33</v>
      </c>
      <c r="D22" s="343">
        <v>496456.12</v>
      </c>
    </row>
    <row r="23" spans="1:4" x14ac:dyDescent="0.25">
      <c r="A23" s="346" t="s">
        <v>110</v>
      </c>
      <c r="B23" s="346" t="s">
        <v>111</v>
      </c>
      <c r="C23" s="343">
        <v>91773.66</v>
      </c>
      <c r="D23" s="343">
        <v>952293.41</v>
      </c>
    </row>
    <row r="24" spans="1:4" x14ac:dyDescent="0.25">
      <c r="A24" s="346" t="s">
        <v>112</v>
      </c>
      <c r="B24" s="346" t="s">
        <v>113</v>
      </c>
      <c r="C24" s="343">
        <v>34668.46</v>
      </c>
      <c r="D24" s="343">
        <v>376664.75</v>
      </c>
    </row>
    <row r="25" spans="1:4" x14ac:dyDescent="0.25">
      <c r="A25" s="346" t="s">
        <v>114</v>
      </c>
      <c r="B25" s="346" t="s">
        <v>115</v>
      </c>
      <c r="C25" s="343">
        <v>4950.07</v>
      </c>
      <c r="D25" s="343">
        <v>50502.92</v>
      </c>
    </row>
    <row r="26" spans="1:4" x14ac:dyDescent="0.25">
      <c r="A26" s="559" t="s">
        <v>116</v>
      </c>
      <c r="B26" s="560"/>
      <c r="C26" s="561">
        <f>SUM(C22:C25)</f>
        <v>179350.52</v>
      </c>
      <c r="D26" s="561">
        <f>SUM(D22:D25)</f>
        <v>1875917.2</v>
      </c>
    </row>
    <row r="28" spans="1:4" x14ac:dyDescent="0.25">
      <c r="A28" s="346" t="s">
        <v>117</v>
      </c>
      <c r="B28" s="346" t="s">
        <v>118</v>
      </c>
      <c r="C28" s="343">
        <v>671.23</v>
      </c>
      <c r="D28" s="343">
        <v>1481.53</v>
      </c>
    </row>
    <row r="29" spans="1:4" x14ac:dyDescent="0.25">
      <c r="A29" s="346" t="s">
        <v>119</v>
      </c>
      <c r="B29" s="346" t="s">
        <v>120</v>
      </c>
      <c r="C29" s="343">
        <v>1284.48</v>
      </c>
      <c r="D29" s="343">
        <v>2827.68</v>
      </c>
    </row>
    <row r="30" spans="1:4" x14ac:dyDescent="0.25">
      <c r="A30" s="346" t="s">
        <v>121</v>
      </c>
      <c r="B30" s="346" t="s">
        <v>122</v>
      </c>
      <c r="C30" s="343">
        <v>485.23</v>
      </c>
      <c r="D30" s="343">
        <v>1050.73</v>
      </c>
    </row>
    <row r="31" spans="1:4" x14ac:dyDescent="0.25">
      <c r="A31" s="346" t="s">
        <v>123</v>
      </c>
      <c r="B31" s="346" t="s">
        <v>124</v>
      </c>
      <c r="C31" s="343">
        <v>69.28</v>
      </c>
      <c r="D31" s="343">
        <v>150.28</v>
      </c>
    </row>
    <row r="32" spans="1:4" x14ac:dyDescent="0.25">
      <c r="A32" s="559" t="s">
        <v>125</v>
      </c>
      <c r="B32" s="560"/>
      <c r="C32" s="561">
        <f>SUM(C28:C31)</f>
        <v>2510.2200000000003</v>
      </c>
      <c r="D32" s="561">
        <f>SUM(D28:D31)</f>
        <v>5510.22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285820.53000000003</v>
      </c>
      <c r="D40" s="343">
        <v>12843403.76</v>
      </c>
    </row>
    <row r="41" spans="1:4" x14ac:dyDescent="0.25">
      <c r="A41" s="346" t="s">
        <v>128</v>
      </c>
      <c r="B41" s="346" t="s">
        <v>348</v>
      </c>
      <c r="C41" s="343">
        <v>546949.76</v>
      </c>
      <c r="D41" s="343">
        <v>24431918.989999998</v>
      </c>
    </row>
    <row r="42" spans="1:4" x14ac:dyDescent="0.25">
      <c r="A42" s="346" t="s">
        <v>130</v>
      </c>
      <c r="B42" s="346" t="s">
        <v>349</v>
      </c>
      <c r="C42" s="343">
        <v>206615.96</v>
      </c>
      <c r="D42" s="343">
        <v>8379829.7400000002</v>
      </c>
    </row>
    <row r="43" spans="1:4" x14ac:dyDescent="0.25">
      <c r="A43" s="346" t="s">
        <v>132</v>
      </c>
      <c r="B43" s="346" t="s">
        <v>350</v>
      </c>
      <c r="C43" s="343">
        <v>29501.3</v>
      </c>
      <c r="D43" s="343">
        <v>1281310.6299999999</v>
      </c>
    </row>
    <row r="44" spans="1:4" x14ac:dyDescent="0.25">
      <c r="A44" s="559" t="s">
        <v>134</v>
      </c>
      <c r="B44" s="560"/>
      <c r="C44" s="561">
        <f>SUM(C40:C43)</f>
        <v>1068887.55</v>
      </c>
      <c r="D44" s="561">
        <f>SUM(D40:D43)</f>
        <v>46936463.120000005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1796630</v>
      </c>
      <c r="D47" s="343">
        <v>404023017.74000001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1796630</v>
      </c>
      <c r="D50" s="561">
        <f>SUM(D46:D49)</f>
        <v>407228305.74000001</v>
      </c>
    </row>
    <row r="52" spans="1:4" x14ac:dyDescent="0.25">
      <c r="A52" s="346" t="s">
        <v>135</v>
      </c>
      <c r="B52" s="346" t="s">
        <v>385</v>
      </c>
      <c r="C52" s="343">
        <v>-207045639.84</v>
      </c>
      <c r="D52" s="343">
        <v>-1461032715.6500001</v>
      </c>
    </row>
    <row r="53" spans="1:4" x14ac:dyDescent="0.25">
      <c r="A53" s="346" t="s">
        <v>137</v>
      </c>
      <c r="B53" s="346" t="s">
        <v>386</v>
      </c>
      <c r="C53" s="343">
        <v>-307342844.52999997</v>
      </c>
      <c r="D53" s="343">
        <v>-2812177793.3000002</v>
      </c>
    </row>
    <row r="54" spans="1:4" x14ac:dyDescent="0.25">
      <c r="A54" s="346" t="s">
        <v>139</v>
      </c>
      <c r="B54" s="346" t="s">
        <v>387</v>
      </c>
      <c r="C54" s="343">
        <v>-137218021.81999999</v>
      </c>
      <c r="D54" s="343">
        <v>-1149017158.1800001</v>
      </c>
    </row>
    <row r="55" spans="1:4" x14ac:dyDescent="0.25">
      <c r="A55" s="346" t="s">
        <v>141</v>
      </c>
      <c r="B55" s="346" t="s">
        <v>388</v>
      </c>
      <c r="C55" s="343">
        <v>-29977295.57</v>
      </c>
      <c r="D55" s="343">
        <v>-121328310.61</v>
      </c>
    </row>
    <row r="56" spans="1:4" x14ac:dyDescent="0.25">
      <c r="A56" s="559" t="s">
        <v>143</v>
      </c>
      <c r="B56" s="560"/>
      <c r="C56" s="561">
        <f>SUM(C52:C55)</f>
        <v>-681583801.76000011</v>
      </c>
      <c r="D56" s="561">
        <f>SUM(D52:D55)</f>
        <v>-5543555977.7399998</v>
      </c>
    </row>
    <row r="58" spans="1:4" x14ac:dyDescent="0.25">
      <c r="A58" s="346" t="s">
        <v>351</v>
      </c>
      <c r="B58" s="346" t="s">
        <v>352</v>
      </c>
      <c r="C58" s="343">
        <v>-2482291.4500000002</v>
      </c>
      <c r="D58" s="343">
        <v>-6082170.5899999999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-2482291.4500000002</v>
      </c>
      <c r="D60" s="343">
        <f>SUM(D58:D59)</f>
        <v>-6082170.5899999999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-4539596.7</v>
      </c>
      <c r="D72" s="343">
        <v>-42914086.18</v>
      </c>
    </row>
    <row r="73" spans="1:4" x14ac:dyDescent="0.25">
      <c r="A73" s="346" t="s">
        <v>152</v>
      </c>
      <c r="B73" s="346" t="s">
        <v>41</v>
      </c>
      <c r="C73" s="343">
        <v>-1152313.07</v>
      </c>
      <c r="D73" s="343">
        <v>-13934692.720000001</v>
      </c>
    </row>
    <row r="74" spans="1:4" x14ac:dyDescent="0.25">
      <c r="A74" s="346" t="s">
        <v>153</v>
      </c>
      <c r="B74" s="346" t="s">
        <v>42</v>
      </c>
      <c r="C74" s="343">
        <v>-4210419.3499999996</v>
      </c>
      <c r="D74" s="343">
        <v>-12268967.18</v>
      </c>
    </row>
    <row r="75" spans="1:4" x14ac:dyDescent="0.25">
      <c r="A75" s="346" t="s">
        <v>154</v>
      </c>
      <c r="B75" s="346" t="s">
        <v>43</v>
      </c>
      <c r="C75" s="343">
        <v>-1162155.6200000001</v>
      </c>
      <c r="D75" s="343">
        <v>-9285771.9800000004</v>
      </c>
    </row>
    <row r="76" spans="1:4" x14ac:dyDescent="0.25">
      <c r="A76" s="559" t="s">
        <v>155</v>
      </c>
      <c r="B76" s="560"/>
      <c r="C76" s="561">
        <f>SUM(C72:C75)</f>
        <v>-11064484.740000002</v>
      </c>
      <c r="D76" s="561">
        <f>SUM(D72:D75)</f>
        <v>-78403518.060000002</v>
      </c>
    </row>
    <row r="78" spans="1:4" x14ac:dyDescent="0.25">
      <c r="A78" s="346" t="s">
        <v>156</v>
      </c>
      <c r="B78" s="346" t="s">
        <v>394</v>
      </c>
      <c r="C78" s="343">
        <v>1391295.74</v>
      </c>
      <c r="D78" s="343">
        <v>11022256.42</v>
      </c>
    </row>
    <row r="79" spans="1:4" x14ac:dyDescent="0.25">
      <c r="A79" s="346" t="s">
        <v>158</v>
      </c>
      <c r="B79" s="346" t="s">
        <v>395</v>
      </c>
      <c r="C79" s="343">
        <v>428918.54</v>
      </c>
      <c r="D79" s="343">
        <v>3209280.8</v>
      </c>
    </row>
    <row r="80" spans="1:4" x14ac:dyDescent="0.25">
      <c r="A80" s="346" t="s">
        <v>160</v>
      </c>
      <c r="B80" s="346" t="s">
        <v>396</v>
      </c>
      <c r="C80" s="343">
        <v>31850.44</v>
      </c>
      <c r="D80" s="343">
        <v>415173.05</v>
      </c>
    </row>
    <row r="81" spans="1:4" x14ac:dyDescent="0.25">
      <c r="A81" s="346" t="s">
        <v>162</v>
      </c>
      <c r="B81" s="346" t="s">
        <v>397</v>
      </c>
      <c r="C81" s="343">
        <v>97343.33</v>
      </c>
      <c r="D81" s="343">
        <v>738716.7</v>
      </c>
    </row>
    <row r="82" spans="1:4" x14ac:dyDescent="0.25">
      <c r="A82" s="559" t="s">
        <v>164</v>
      </c>
      <c r="B82" s="560"/>
      <c r="C82" s="561">
        <f>SUM(C78:C81)</f>
        <v>1949408.05</v>
      </c>
      <c r="D82" s="561">
        <f>SUM(D78:D81)</f>
        <v>15385426.969999999</v>
      </c>
    </row>
    <row r="84" spans="1:4" x14ac:dyDescent="0.25">
      <c r="A84" s="559" t="s">
        <v>31</v>
      </c>
      <c r="B84" s="560"/>
      <c r="C84" s="561">
        <f>C14+C20+C26+C32+C44+C56+C62+C70+C76+C82+C50+C38+C60</f>
        <v>62772640.579999901</v>
      </c>
      <c r="D84" s="561">
        <f>D14+D20+D26+D32+D44+D56+D62+D70+D76+D82+D50+D38+D60</f>
        <v>743931327.79999971</v>
      </c>
    </row>
  </sheetData>
  <pageMargins left="0.7" right="0.7" top="0.75" bottom="0.75" header="0.3" footer="0.3"/>
  <pageSetup scale="84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1" workbookViewId="0">
      <selection activeCell="C36" sqref="C36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73" t="s">
        <v>86</v>
      </c>
      <c r="C2" s="574"/>
      <c r="D2" s="574"/>
    </row>
    <row r="3" spans="1:4" x14ac:dyDescent="0.25">
      <c r="B3" s="555" t="s">
        <v>419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420</v>
      </c>
      <c r="C5" s="342"/>
      <c r="D5" s="342"/>
    </row>
    <row r="7" spans="1:4" x14ac:dyDescent="0.25">
      <c r="B7" s="344" t="s">
        <v>30</v>
      </c>
      <c r="C7" s="345" t="s">
        <v>188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197735327.50999999</v>
      </c>
      <c r="D9" s="347">
        <v>1760471325.0999999</v>
      </c>
    </row>
    <row r="10" spans="1:4" x14ac:dyDescent="0.25">
      <c r="A10" s="346" t="s">
        <v>94</v>
      </c>
      <c r="B10" s="346" t="s">
        <v>35</v>
      </c>
      <c r="C10" s="343">
        <v>378388807.35000002</v>
      </c>
      <c r="D10" s="343">
        <v>3374659272.1599998</v>
      </c>
    </row>
    <row r="11" spans="1:4" x14ac:dyDescent="0.25">
      <c r="A11" s="346" t="s">
        <v>95</v>
      </c>
      <c r="B11" s="346" t="s">
        <v>36</v>
      </c>
      <c r="C11" s="343">
        <v>142940309.69</v>
      </c>
      <c r="D11" s="343">
        <v>1318435513.8399999</v>
      </c>
    </row>
    <row r="12" spans="1:4" x14ac:dyDescent="0.25">
      <c r="A12" s="346" t="s">
        <v>96</v>
      </c>
      <c r="B12" s="346" t="s">
        <v>37</v>
      </c>
      <c r="C12" s="343">
        <v>20409480.32</v>
      </c>
      <c r="D12" s="343">
        <v>179771008.19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739473924.87</v>
      </c>
      <c r="D14" s="561">
        <f>SUM(D9:D13)</f>
        <v>6633337119.29</v>
      </c>
    </row>
    <row r="16" spans="1:4" x14ac:dyDescent="0.25">
      <c r="A16" s="346" t="s">
        <v>99</v>
      </c>
      <c r="B16" s="346" t="s">
        <v>100</v>
      </c>
      <c r="C16" s="343">
        <v>160991.47</v>
      </c>
      <c r="D16" s="343">
        <v>1791256.39</v>
      </c>
    </row>
    <row r="17" spans="1:4" x14ac:dyDescent="0.25">
      <c r="A17" s="346" t="s">
        <v>101</v>
      </c>
      <c r="B17" s="346" t="s">
        <v>102</v>
      </c>
      <c r="C17" s="343">
        <v>308075.26</v>
      </c>
      <c r="D17" s="343">
        <v>3434385.06</v>
      </c>
    </row>
    <row r="18" spans="1:4" x14ac:dyDescent="0.25">
      <c r="A18" s="346" t="s">
        <v>103</v>
      </c>
      <c r="B18" s="346" t="s">
        <v>104</v>
      </c>
      <c r="C18" s="343">
        <v>190671.27</v>
      </c>
      <c r="D18" s="343">
        <v>1949905.46</v>
      </c>
    </row>
    <row r="19" spans="1:4" x14ac:dyDescent="0.25">
      <c r="A19" s="346" t="s">
        <v>105</v>
      </c>
      <c r="B19" s="346" t="s">
        <v>106</v>
      </c>
      <c r="C19" s="343">
        <v>16616.88</v>
      </c>
      <c r="D19" s="343">
        <v>178984.49</v>
      </c>
    </row>
    <row r="20" spans="1:4" x14ac:dyDescent="0.25">
      <c r="A20" s="559" t="s">
        <v>107</v>
      </c>
      <c r="B20" s="560"/>
      <c r="C20" s="561">
        <f>SUM(C16:C19)</f>
        <v>676354.88</v>
      </c>
      <c r="D20" s="561">
        <f>SUM(D16:D19)</f>
        <v>7354531.4000000004</v>
      </c>
    </row>
    <row r="22" spans="1:4" x14ac:dyDescent="0.25">
      <c r="A22" s="346" t="s">
        <v>108</v>
      </c>
      <c r="B22" s="346" t="s">
        <v>109</v>
      </c>
      <c r="C22" s="343">
        <v>49129.19</v>
      </c>
      <c r="D22" s="343">
        <v>545585.31000000006</v>
      </c>
    </row>
    <row r="23" spans="1:4" x14ac:dyDescent="0.25">
      <c r="A23" s="346" t="s">
        <v>110</v>
      </c>
      <c r="B23" s="346" t="s">
        <v>111</v>
      </c>
      <c r="C23" s="343">
        <v>94014.24</v>
      </c>
      <c r="D23" s="343">
        <v>1046307.65</v>
      </c>
    </row>
    <row r="24" spans="1:4" x14ac:dyDescent="0.25">
      <c r="A24" s="346" t="s">
        <v>112</v>
      </c>
      <c r="B24" s="346" t="s">
        <v>113</v>
      </c>
      <c r="C24" s="343">
        <v>35514.86</v>
      </c>
      <c r="D24" s="343">
        <v>412179.61</v>
      </c>
    </row>
    <row r="25" spans="1:4" x14ac:dyDescent="0.25">
      <c r="A25" s="346" t="s">
        <v>114</v>
      </c>
      <c r="B25" s="346" t="s">
        <v>115</v>
      </c>
      <c r="C25" s="343">
        <v>5070.93</v>
      </c>
      <c r="D25" s="343">
        <v>55573.85</v>
      </c>
    </row>
    <row r="26" spans="1:4" x14ac:dyDescent="0.25">
      <c r="A26" s="559" t="s">
        <v>116</v>
      </c>
      <c r="B26" s="560"/>
      <c r="C26" s="561">
        <f>SUM(C22:C25)</f>
        <v>183729.21999999997</v>
      </c>
      <c r="D26" s="561">
        <f>SUM(D22:D25)</f>
        <v>2059646.42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1481.53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2827.68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1050.73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150.28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5510.22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3015524.89</v>
      </c>
      <c r="D40" s="343">
        <v>15858928.65</v>
      </c>
    </row>
    <row r="41" spans="1:4" x14ac:dyDescent="0.25">
      <c r="A41" s="346" t="s">
        <v>128</v>
      </c>
      <c r="B41" s="346" t="s">
        <v>348</v>
      </c>
      <c r="C41" s="343">
        <v>5770546.3099999996</v>
      </c>
      <c r="D41" s="343">
        <v>30202465.300000001</v>
      </c>
    </row>
    <row r="42" spans="1:4" x14ac:dyDescent="0.25">
      <c r="A42" s="346" t="s">
        <v>130</v>
      </c>
      <c r="B42" s="346" t="s">
        <v>349</v>
      </c>
      <c r="C42" s="343">
        <v>1954529.61</v>
      </c>
      <c r="D42" s="343">
        <v>10334359.35</v>
      </c>
    </row>
    <row r="43" spans="1:4" x14ac:dyDescent="0.25">
      <c r="A43" s="346" t="s">
        <v>132</v>
      </c>
      <c r="B43" s="346" t="s">
        <v>350</v>
      </c>
      <c r="C43" s="343">
        <v>311250.90999999997</v>
      </c>
      <c r="D43" s="343">
        <v>1592561.54</v>
      </c>
    </row>
    <row r="44" spans="1:4" x14ac:dyDescent="0.25">
      <c r="A44" s="559" t="s">
        <v>134</v>
      </c>
      <c r="B44" s="560"/>
      <c r="C44" s="561">
        <f>SUM(C40:C43)</f>
        <v>11051851.719999999</v>
      </c>
      <c r="D44" s="561">
        <f>SUM(D40:D43)</f>
        <v>57988314.840000004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-1657787</v>
      </c>
      <c r="D47" s="343">
        <v>402365230.74000001</v>
      </c>
    </row>
    <row r="48" spans="1:4" x14ac:dyDescent="0.25">
      <c r="A48" s="346" t="s">
        <v>330</v>
      </c>
      <c r="B48" s="346" t="s">
        <v>331</v>
      </c>
      <c r="C48" s="343">
        <v>-24000000</v>
      </c>
      <c r="D48" s="343">
        <v>-20794712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-25657787</v>
      </c>
      <c r="D50" s="561">
        <f>SUM(D46:D49)</f>
        <v>381570518.74000001</v>
      </c>
    </row>
    <row r="52" spans="1:4" x14ac:dyDescent="0.25">
      <c r="A52" s="346" t="s">
        <v>135</v>
      </c>
      <c r="B52" s="346" t="s">
        <v>385</v>
      </c>
      <c r="C52" s="343">
        <v>-179796643.86000001</v>
      </c>
      <c r="D52" s="343">
        <v>-1640829359.51</v>
      </c>
    </row>
    <row r="53" spans="1:4" x14ac:dyDescent="0.25">
      <c r="A53" s="346" t="s">
        <v>137</v>
      </c>
      <c r="B53" s="346" t="s">
        <v>386</v>
      </c>
      <c r="C53" s="343">
        <v>-308845049</v>
      </c>
      <c r="D53" s="343">
        <v>-3121022842.3000002</v>
      </c>
    </row>
    <row r="54" spans="1:4" x14ac:dyDescent="0.25">
      <c r="A54" s="346" t="s">
        <v>139</v>
      </c>
      <c r="B54" s="346" t="s">
        <v>387</v>
      </c>
      <c r="C54" s="343">
        <v>-105964935.23999999</v>
      </c>
      <c r="D54" s="343">
        <v>-1254982093.4200001</v>
      </c>
    </row>
    <row r="55" spans="1:4" x14ac:dyDescent="0.25">
      <c r="A55" s="346" t="s">
        <v>141</v>
      </c>
      <c r="B55" s="346" t="s">
        <v>388</v>
      </c>
      <c r="C55" s="343">
        <v>-16903683.73</v>
      </c>
      <c r="D55" s="343">
        <v>-138231994.34</v>
      </c>
    </row>
    <row r="56" spans="1:4" x14ac:dyDescent="0.25">
      <c r="A56" s="559" t="s">
        <v>143</v>
      </c>
      <c r="B56" s="560"/>
      <c r="C56" s="561">
        <f>SUM(C52:C55)</f>
        <v>-611510311.83000004</v>
      </c>
      <c r="D56" s="561">
        <f>SUM(D52:D55)</f>
        <v>-6155066289.5700006</v>
      </c>
    </row>
    <row r="58" spans="1:4" x14ac:dyDescent="0.25">
      <c r="A58" s="346" t="s">
        <v>351</v>
      </c>
      <c r="B58" s="346" t="s">
        <v>352</v>
      </c>
      <c r="C58" s="343">
        <v>-1698176.32</v>
      </c>
      <c r="D58" s="343">
        <v>-7780346.9100000001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-1698176.32</v>
      </c>
      <c r="D60" s="343">
        <f>SUM(D58:D59)</f>
        <v>-7780346.9100000001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-5632149.6699999999</v>
      </c>
      <c r="D72" s="343">
        <v>-48546235.850000001</v>
      </c>
    </row>
    <row r="73" spans="1:4" x14ac:dyDescent="0.25">
      <c r="A73" s="346" t="s">
        <v>152</v>
      </c>
      <c r="B73" s="346" t="s">
        <v>41</v>
      </c>
      <c r="C73" s="343">
        <v>-1757218.76</v>
      </c>
      <c r="D73" s="343">
        <v>-15691911.48</v>
      </c>
    </row>
    <row r="74" spans="1:4" x14ac:dyDescent="0.25">
      <c r="A74" s="346" t="s">
        <v>153</v>
      </c>
      <c r="B74" s="346" t="s">
        <v>42</v>
      </c>
      <c r="C74" s="343">
        <v>-1386044.5</v>
      </c>
      <c r="D74" s="343">
        <v>-13655011.68</v>
      </c>
    </row>
    <row r="75" spans="1:4" x14ac:dyDescent="0.25">
      <c r="A75" s="346" t="s">
        <v>154</v>
      </c>
      <c r="B75" s="346" t="s">
        <v>43</v>
      </c>
      <c r="C75" s="343">
        <v>-1198347.26</v>
      </c>
      <c r="D75" s="343">
        <v>-10484119.24</v>
      </c>
    </row>
    <row r="76" spans="1:4" x14ac:dyDescent="0.25">
      <c r="A76" s="559" t="s">
        <v>155</v>
      </c>
      <c r="B76" s="560"/>
      <c r="C76" s="561">
        <f>SUM(C72:C75)</f>
        <v>-9973760.1899999995</v>
      </c>
      <c r="D76" s="561">
        <f>SUM(D72:D75)</f>
        <v>-88377278.249999985</v>
      </c>
    </row>
    <row r="78" spans="1:4" x14ac:dyDescent="0.25">
      <c r="A78" s="346" t="s">
        <v>156</v>
      </c>
      <c r="B78" s="346" t="s">
        <v>394</v>
      </c>
      <c r="C78" s="343">
        <v>1471182</v>
      </c>
      <c r="D78" s="343">
        <v>12493438.42</v>
      </c>
    </row>
    <row r="79" spans="1:4" x14ac:dyDescent="0.25">
      <c r="A79" s="346" t="s">
        <v>158</v>
      </c>
      <c r="B79" s="346" t="s">
        <v>395</v>
      </c>
      <c r="C79" s="343">
        <v>453599.82</v>
      </c>
      <c r="D79" s="343">
        <v>3662880.62</v>
      </c>
    </row>
    <row r="80" spans="1:4" x14ac:dyDescent="0.25">
      <c r="A80" s="346" t="s">
        <v>160</v>
      </c>
      <c r="B80" s="346" t="s">
        <v>396</v>
      </c>
      <c r="C80" s="343">
        <v>33635.279999999999</v>
      </c>
      <c r="D80" s="343">
        <v>448808.33</v>
      </c>
    </row>
    <row r="81" spans="1:4" x14ac:dyDescent="0.25">
      <c r="A81" s="346" t="s">
        <v>162</v>
      </c>
      <c r="B81" s="346" t="s">
        <v>397</v>
      </c>
      <c r="C81" s="343">
        <v>102937.42</v>
      </c>
      <c r="D81" s="343">
        <v>841654.12</v>
      </c>
    </row>
    <row r="82" spans="1:4" x14ac:dyDescent="0.25">
      <c r="A82" s="559" t="s">
        <v>164</v>
      </c>
      <c r="B82" s="560"/>
      <c r="C82" s="561">
        <f>SUM(C78:C81)</f>
        <v>2061354.52</v>
      </c>
      <c r="D82" s="561">
        <f>SUM(D78:D81)</f>
        <v>17446781.489999998</v>
      </c>
    </row>
    <row r="84" spans="1:4" x14ac:dyDescent="0.25">
      <c r="A84" s="559" t="s">
        <v>31</v>
      </c>
      <c r="B84" s="560"/>
      <c r="C84" s="561">
        <f>C14+C20+C26+C32+C44+C56+C62+C70+C76+C82+C50+C38+C60</f>
        <v>104607179.87000002</v>
      </c>
      <c r="D84" s="561">
        <f>D14+D20+D26+D32+D44+D56+D62+D70+D76+D82+D50+D38+D60</f>
        <v>848538507.66999948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9" workbookViewId="0">
      <selection activeCell="B87" sqref="B87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421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422</v>
      </c>
      <c r="C5" s="342"/>
      <c r="D5" s="342"/>
    </row>
    <row r="7" spans="1:4" x14ac:dyDescent="0.25">
      <c r="B7" s="344" t="s">
        <v>30</v>
      </c>
      <c r="C7" s="345" t="s">
        <v>193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203383473.41</v>
      </c>
      <c r="D9" s="347">
        <v>1963854798.51</v>
      </c>
    </row>
    <row r="10" spans="1:4" x14ac:dyDescent="0.25">
      <c r="A10" s="346" t="s">
        <v>94</v>
      </c>
      <c r="B10" s="346" t="s">
        <v>35</v>
      </c>
      <c r="C10" s="343">
        <v>383539922.05000001</v>
      </c>
      <c r="D10" s="343">
        <v>3758199194.21</v>
      </c>
    </row>
    <row r="11" spans="1:4" x14ac:dyDescent="0.25">
      <c r="A11" s="346" t="s">
        <v>95</v>
      </c>
      <c r="B11" s="346" t="s">
        <v>36</v>
      </c>
      <c r="C11" s="343">
        <v>127895642.84</v>
      </c>
      <c r="D11" s="343">
        <v>1446331156.6800001</v>
      </c>
    </row>
    <row r="12" spans="1:4" x14ac:dyDescent="0.25">
      <c r="A12" s="346" t="s">
        <v>96</v>
      </c>
      <c r="B12" s="346" t="s">
        <v>37</v>
      </c>
      <c r="C12" s="343">
        <v>20213391.829999998</v>
      </c>
      <c r="D12" s="343">
        <v>199984400.02000001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735032430.13000011</v>
      </c>
      <c r="D14" s="561">
        <f>SUM(D9:D13)</f>
        <v>7368369549.420001</v>
      </c>
    </row>
    <row r="16" spans="1:4" x14ac:dyDescent="0.25">
      <c r="A16" s="346" t="s">
        <v>99</v>
      </c>
      <c r="B16" s="346" t="s">
        <v>100</v>
      </c>
      <c r="C16" s="343">
        <v>373705.36</v>
      </c>
      <c r="D16" s="343">
        <v>2164961.75</v>
      </c>
    </row>
    <row r="17" spans="1:4" x14ac:dyDescent="0.25">
      <c r="A17" s="346" t="s">
        <v>101</v>
      </c>
      <c r="B17" s="346" t="s">
        <v>102</v>
      </c>
      <c r="C17" s="343">
        <v>702861.11</v>
      </c>
      <c r="D17" s="343">
        <v>4137246.17</v>
      </c>
    </row>
    <row r="18" spans="1:4" x14ac:dyDescent="0.25">
      <c r="A18" s="346" t="s">
        <v>103</v>
      </c>
      <c r="B18" s="346" t="s">
        <v>104</v>
      </c>
      <c r="C18" s="343">
        <v>305443.11</v>
      </c>
      <c r="D18" s="343">
        <v>2255348.5699999998</v>
      </c>
    </row>
    <row r="19" spans="1:4" x14ac:dyDescent="0.25">
      <c r="A19" s="346" t="s">
        <v>105</v>
      </c>
      <c r="B19" s="346" t="s">
        <v>106</v>
      </c>
      <c r="C19" s="343">
        <v>36883.25</v>
      </c>
      <c r="D19" s="343">
        <v>215867.74</v>
      </c>
    </row>
    <row r="20" spans="1:4" x14ac:dyDescent="0.25">
      <c r="A20" s="559" t="s">
        <v>107</v>
      </c>
      <c r="B20" s="560"/>
      <c r="C20" s="561">
        <f>SUM(C16:C19)</f>
        <v>1418892.83</v>
      </c>
      <c r="D20" s="561">
        <f>SUM(D16:D19)</f>
        <v>8773424.2300000004</v>
      </c>
    </row>
    <row r="22" spans="1:4" x14ac:dyDescent="0.25">
      <c r="A22" s="346" t="s">
        <v>108</v>
      </c>
      <c r="B22" s="346" t="s">
        <v>109</v>
      </c>
      <c r="C22" s="343">
        <v>210903.6</v>
      </c>
      <c r="D22" s="343">
        <v>756488.91</v>
      </c>
    </row>
    <row r="23" spans="1:4" x14ac:dyDescent="0.25">
      <c r="A23" s="346" t="s">
        <v>110</v>
      </c>
      <c r="B23" s="346" t="s">
        <v>111</v>
      </c>
      <c r="C23" s="343">
        <v>397721.35</v>
      </c>
      <c r="D23" s="343">
        <v>1444029</v>
      </c>
    </row>
    <row r="24" spans="1:4" x14ac:dyDescent="0.25">
      <c r="A24" s="346" t="s">
        <v>112</v>
      </c>
      <c r="B24" s="346" t="s">
        <v>113</v>
      </c>
      <c r="C24" s="343">
        <v>132624.6</v>
      </c>
      <c r="D24" s="343">
        <v>544804.21</v>
      </c>
    </row>
    <row r="25" spans="1:4" x14ac:dyDescent="0.25">
      <c r="A25" s="346" t="s">
        <v>114</v>
      </c>
      <c r="B25" s="346" t="s">
        <v>115</v>
      </c>
      <c r="C25" s="343">
        <v>20960.78</v>
      </c>
      <c r="D25" s="343">
        <v>76534.63</v>
      </c>
    </row>
    <row r="26" spans="1:4" x14ac:dyDescent="0.25">
      <c r="A26" s="559" t="s">
        <v>116</v>
      </c>
      <c r="B26" s="560"/>
      <c r="C26" s="561">
        <f>SUM(C22:C25)</f>
        <v>762210.33</v>
      </c>
      <c r="D26" s="561">
        <f>SUM(D22:D25)</f>
        <v>2821856.75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1481.53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2827.68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1050.73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150.28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5510.22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-191839.49</v>
      </c>
      <c r="D40" s="343">
        <v>15667089.16</v>
      </c>
    </row>
    <row r="41" spans="1:4" x14ac:dyDescent="0.25">
      <c r="A41" s="346" t="s">
        <v>128</v>
      </c>
      <c r="B41" s="346" t="s">
        <v>348</v>
      </c>
      <c r="C41" s="343">
        <v>-362453.66</v>
      </c>
      <c r="D41" s="343">
        <v>29840011.640000001</v>
      </c>
    </row>
    <row r="42" spans="1:4" x14ac:dyDescent="0.25">
      <c r="A42" s="346" t="s">
        <v>130</v>
      </c>
      <c r="B42" s="346" t="s">
        <v>349</v>
      </c>
      <c r="C42" s="343">
        <v>-122946.73</v>
      </c>
      <c r="D42" s="343">
        <v>10211412.619999999</v>
      </c>
    </row>
    <row r="43" spans="1:4" x14ac:dyDescent="0.25">
      <c r="A43" s="346" t="s">
        <v>132</v>
      </c>
      <c r="B43" s="346" t="s">
        <v>350</v>
      </c>
      <c r="C43" s="343">
        <v>-19160.189999999999</v>
      </c>
      <c r="D43" s="343">
        <v>1573401.35</v>
      </c>
    </row>
    <row r="44" spans="1:4" x14ac:dyDescent="0.25">
      <c r="A44" s="559" t="s">
        <v>134</v>
      </c>
      <c r="B44" s="560"/>
      <c r="C44" s="561">
        <f>SUM(C40:C43)</f>
        <v>-696400.06999999983</v>
      </c>
      <c r="D44" s="561">
        <f>SUM(D40:D43)</f>
        <v>57291914.769999996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222564</v>
      </c>
      <c r="D47" s="343">
        <v>402587794.74000001</v>
      </c>
    </row>
    <row r="48" spans="1:4" x14ac:dyDescent="0.25">
      <c r="A48" s="346" t="s">
        <v>330</v>
      </c>
      <c r="B48" s="346" t="s">
        <v>331</v>
      </c>
      <c r="C48" s="343">
        <v>24000000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24222564</v>
      </c>
      <c r="D50" s="561">
        <f>SUM(D46:D49)</f>
        <v>405793082.74000001</v>
      </c>
    </row>
    <row r="52" spans="1:4" x14ac:dyDescent="0.25">
      <c r="A52" s="346" t="s">
        <v>135</v>
      </c>
      <c r="B52" s="346" t="s">
        <v>385</v>
      </c>
      <c r="C52" s="343">
        <v>-200198787.90000001</v>
      </c>
      <c r="D52" s="343">
        <v>-1841028147.4100001</v>
      </c>
    </row>
    <row r="53" spans="1:4" x14ac:dyDescent="0.25">
      <c r="A53" s="346" t="s">
        <v>137</v>
      </c>
      <c r="B53" s="346" t="s">
        <v>386</v>
      </c>
      <c r="C53" s="343">
        <v>-308891558.56999999</v>
      </c>
      <c r="D53" s="343">
        <v>-3429914400.8699999</v>
      </c>
    </row>
    <row r="54" spans="1:4" x14ac:dyDescent="0.25">
      <c r="A54" s="346" t="s">
        <v>139</v>
      </c>
      <c r="B54" s="346" t="s">
        <v>387</v>
      </c>
      <c r="C54" s="343">
        <v>-153973736.50999999</v>
      </c>
      <c r="D54" s="343">
        <v>-1408955829.9300001</v>
      </c>
    </row>
    <row r="55" spans="1:4" x14ac:dyDescent="0.25">
      <c r="A55" s="346" t="s">
        <v>141</v>
      </c>
      <c r="B55" s="346" t="s">
        <v>388</v>
      </c>
      <c r="C55" s="343">
        <v>-15876420.630000001</v>
      </c>
      <c r="D55" s="343">
        <v>-154108414.97</v>
      </c>
    </row>
    <row r="56" spans="1:4" x14ac:dyDescent="0.25">
      <c r="A56" s="559" t="s">
        <v>143</v>
      </c>
      <c r="B56" s="560"/>
      <c r="C56" s="561">
        <f>SUM(C52:C55)</f>
        <v>-678940503.61000001</v>
      </c>
      <c r="D56" s="561">
        <f>SUM(D52:D55)</f>
        <v>-6834006793.1800003</v>
      </c>
    </row>
    <row r="58" spans="1:4" x14ac:dyDescent="0.25">
      <c r="A58" s="346" t="s">
        <v>351</v>
      </c>
      <c r="B58" s="346" t="s">
        <v>352</v>
      </c>
      <c r="C58" s="343">
        <v>-2338511.44</v>
      </c>
      <c r="D58" s="343">
        <v>-10118858.35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-2338511.44</v>
      </c>
      <c r="D60" s="343">
        <f>SUM(D58:D59)</f>
        <v>-10118858.35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-5387853.5599999996</v>
      </c>
      <c r="D72" s="343">
        <v>-53934089.409999996</v>
      </c>
    </row>
    <row r="73" spans="1:4" x14ac:dyDescent="0.25">
      <c r="A73" s="346" t="s">
        <v>152</v>
      </c>
      <c r="B73" s="346" t="s">
        <v>41</v>
      </c>
      <c r="C73" s="343">
        <v>-1882282.44</v>
      </c>
      <c r="D73" s="343">
        <v>-17574193.920000002</v>
      </c>
    </row>
    <row r="74" spans="1:4" x14ac:dyDescent="0.25">
      <c r="A74" s="346" t="s">
        <v>153</v>
      </c>
      <c r="B74" s="346" t="s">
        <v>42</v>
      </c>
      <c r="C74" s="343">
        <v>-1609249.78</v>
      </c>
      <c r="D74" s="343">
        <v>-15264261.460000001</v>
      </c>
    </row>
    <row r="75" spans="1:4" x14ac:dyDescent="0.25">
      <c r="A75" s="346" t="s">
        <v>154</v>
      </c>
      <c r="B75" s="346" t="s">
        <v>43</v>
      </c>
      <c r="C75" s="343">
        <v>-805187.51</v>
      </c>
      <c r="D75" s="343">
        <v>-11289306.75</v>
      </c>
    </row>
    <row r="76" spans="1:4" x14ac:dyDescent="0.25">
      <c r="A76" s="559" t="s">
        <v>155</v>
      </c>
      <c r="B76" s="560"/>
      <c r="C76" s="561">
        <f>SUM(C72:C75)</f>
        <v>-9684573.2899999991</v>
      </c>
      <c r="D76" s="561">
        <f>SUM(D72:D75)</f>
        <v>-98061851.539999992</v>
      </c>
    </row>
    <row r="78" spans="1:4" x14ac:dyDescent="0.25">
      <c r="A78" s="346" t="s">
        <v>156</v>
      </c>
      <c r="B78" s="346" t="s">
        <v>394</v>
      </c>
      <c r="C78" s="343">
        <v>1609848.61</v>
      </c>
      <c r="D78" s="343">
        <v>14103287.029999999</v>
      </c>
    </row>
    <row r="79" spans="1:4" x14ac:dyDescent="0.25">
      <c r="A79" s="346" t="s">
        <v>158</v>
      </c>
      <c r="B79" s="346" t="s">
        <v>395</v>
      </c>
      <c r="C79" s="343">
        <v>491045.2</v>
      </c>
      <c r="D79" s="343">
        <v>4153925.82</v>
      </c>
    </row>
    <row r="80" spans="1:4" x14ac:dyDescent="0.25">
      <c r="A80" s="346" t="s">
        <v>160</v>
      </c>
      <c r="B80" s="346" t="s">
        <v>396</v>
      </c>
      <c r="C80" s="343">
        <v>34984.83</v>
      </c>
      <c r="D80" s="343">
        <v>483793.16</v>
      </c>
    </row>
    <row r="81" spans="1:4" x14ac:dyDescent="0.25">
      <c r="A81" s="346" t="s">
        <v>162</v>
      </c>
      <c r="B81" s="346" t="s">
        <v>397</v>
      </c>
      <c r="C81" s="343">
        <v>115094.96</v>
      </c>
      <c r="D81" s="343">
        <v>956749.08</v>
      </c>
    </row>
    <row r="82" spans="1:4" x14ac:dyDescent="0.25">
      <c r="A82" s="559" t="s">
        <v>164</v>
      </c>
      <c r="B82" s="560"/>
      <c r="C82" s="561">
        <f>SUM(C78:C81)</f>
        <v>2250973.6</v>
      </c>
      <c r="D82" s="561">
        <f>SUM(D78:D81)</f>
        <v>19697755.089999996</v>
      </c>
    </row>
    <row r="84" spans="1:4" x14ac:dyDescent="0.25">
      <c r="A84" s="559" t="s">
        <v>31</v>
      </c>
      <c r="B84" s="560"/>
      <c r="C84" s="561">
        <f>C14+C20+C26+C32+C44+C56+C62+C70+C76+C82+C50+C38+C60</f>
        <v>72027082.480000138</v>
      </c>
      <c r="D84" s="561">
        <f>D14+D20+D26+D32+D44+D56+D62+D70+D76+D82+D50+D38+D60</f>
        <v>920565590.15000093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22" workbookViewId="0">
      <selection activeCell="G36" sqref="G36"/>
    </sheetView>
  </sheetViews>
  <sheetFormatPr defaultRowHeight="13.2" x14ac:dyDescent="0.25"/>
  <cols>
    <col min="1" max="1" width="30.6640625" customWidth="1"/>
    <col min="2" max="2" width="31.44140625" bestFit="1" customWidth="1"/>
    <col min="3" max="3" width="15" style="343" bestFit="1" customWidth="1"/>
    <col min="4" max="4" width="16.5546875" style="343" bestFit="1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423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422</v>
      </c>
      <c r="C5" s="342"/>
      <c r="D5" s="342"/>
    </row>
    <row r="7" spans="1:4" x14ac:dyDescent="0.25">
      <c r="B7" s="344" t="s">
        <v>30</v>
      </c>
      <c r="C7" s="345" t="s">
        <v>196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195933777.41</v>
      </c>
      <c r="D9" s="347">
        <v>2159788575.9200001</v>
      </c>
    </row>
    <row r="10" spans="1:4" x14ac:dyDescent="0.25">
      <c r="A10" s="346" t="s">
        <v>94</v>
      </c>
      <c r="B10" s="346" t="s">
        <v>35</v>
      </c>
      <c r="C10" s="343">
        <v>374124271.62</v>
      </c>
      <c r="D10" s="343">
        <v>4132323465.8299999</v>
      </c>
    </row>
    <row r="11" spans="1:4" x14ac:dyDescent="0.25">
      <c r="A11" s="346" t="s">
        <v>95</v>
      </c>
      <c r="B11" s="346" t="s">
        <v>36</v>
      </c>
      <c r="C11" s="343">
        <v>123210976.76000001</v>
      </c>
      <c r="D11" s="343">
        <v>1569542133.4400001</v>
      </c>
    </row>
    <row r="12" spans="1:4" x14ac:dyDescent="0.25">
      <c r="A12" s="346" t="s">
        <v>96</v>
      </c>
      <c r="B12" s="346" t="s">
        <v>37</v>
      </c>
      <c r="C12" s="343">
        <v>19472999.190000001</v>
      </c>
      <c r="D12" s="343">
        <v>219457399.21000001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712742024.98000002</v>
      </c>
      <c r="D14" s="561">
        <f>SUM(D9:D13)</f>
        <v>8081111574.4000006</v>
      </c>
    </row>
    <row r="16" spans="1:4" x14ac:dyDescent="0.25">
      <c r="A16" s="346" t="s">
        <v>99</v>
      </c>
      <c r="B16" s="346" t="s">
        <v>100</v>
      </c>
      <c r="C16" s="343">
        <v>-36036.129999999997</v>
      </c>
      <c r="D16" s="343">
        <v>2128925.62</v>
      </c>
    </row>
    <row r="17" spans="1:4" x14ac:dyDescent="0.25">
      <c r="A17" s="346" t="s">
        <v>101</v>
      </c>
      <c r="B17" s="346" t="s">
        <v>102</v>
      </c>
      <c r="C17" s="343">
        <v>-67956.84</v>
      </c>
      <c r="D17" s="343">
        <v>4069289.33</v>
      </c>
    </row>
    <row r="18" spans="1:4" x14ac:dyDescent="0.25">
      <c r="A18" s="346" t="s">
        <v>103</v>
      </c>
      <c r="B18" s="346" t="s">
        <v>104</v>
      </c>
      <c r="C18" s="343">
        <v>54108.05</v>
      </c>
      <c r="D18" s="343">
        <v>2309456.62</v>
      </c>
    </row>
    <row r="19" spans="1:4" x14ac:dyDescent="0.25">
      <c r="A19" s="346" t="s">
        <v>105</v>
      </c>
      <c r="B19" s="346" t="s">
        <v>106</v>
      </c>
      <c r="C19" s="343">
        <v>-3581.46</v>
      </c>
      <c r="D19" s="343">
        <v>212286.28</v>
      </c>
    </row>
    <row r="20" spans="1:4" x14ac:dyDescent="0.25">
      <c r="A20" s="559" t="s">
        <v>107</v>
      </c>
      <c r="B20" s="560"/>
      <c r="C20" s="561">
        <f>SUM(C16:C19)</f>
        <v>-53466.38</v>
      </c>
      <c r="D20" s="561">
        <f>SUM(D16:D19)</f>
        <v>8719957.8499999996</v>
      </c>
    </row>
    <row r="22" spans="1:4" x14ac:dyDescent="0.25">
      <c r="A22" s="346" t="s">
        <v>108</v>
      </c>
      <c r="B22" s="346" t="s">
        <v>109</v>
      </c>
      <c r="C22" s="343">
        <v>65449.8</v>
      </c>
      <c r="D22" s="343">
        <v>821938.71</v>
      </c>
    </row>
    <row r="23" spans="1:4" x14ac:dyDescent="0.25">
      <c r="A23" s="346" t="s">
        <v>110</v>
      </c>
      <c r="B23" s="346" t="s">
        <v>111</v>
      </c>
      <c r="C23" s="343">
        <v>123425.04</v>
      </c>
      <c r="D23" s="343">
        <v>1567454.04</v>
      </c>
    </row>
    <row r="24" spans="1:4" x14ac:dyDescent="0.25">
      <c r="A24" s="346" t="s">
        <v>112</v>
      </c>
      <c r="B24" s="346" t="s">
        <v>113</v>
      </c>
      <c r="C24" s="343">
        <v>41157.440000000002</v>
      </c>
      <c r="D24" s="343">
        <v>585961.65</v>
      </c>
    </row>
    <row r="25" spans="1:4" x14ac:dyDescent="0.25">
      <c r="A25" s="346" t="s">
        <v>114</v>
      </c>
      <c r="B25" s="346" t="s">
        <v>115</v>
      </c>
      <c r="C25" s="343">
        <v>6504.76</v>
      </c>
      <c r="D25" s="343">
        <v>83039.39</v>
      </c>
    </row>
    <row r="26" spans="1:4" x14ac:dyDescent="0.25">
      <c r="A26" s="559" t="s">
        <v>116</v>
      </c>
      <c r="B26" s="560"/>
      <c r="C26" s="561">
        <f>SUM(C22:C25)</f>
        <v>236537.04</v>
      </c>
      <c r="D26" s="561">
        <f>SUM(D22:D25)</f>
        <v>3058393.79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1481.53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2827.68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1050.73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150.28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5510.22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f>3648143.72+'[30]Aug Rollforward Account'!$C$577</f>
        <v>233926.99040000048</v>
      </c>
      <c r="D40" s="343">
        <v>19315232.879999999</v>
      </c>
    </row>
    <row r="41" spans="1:4" x14ac:dyDescent="0.25">
      <c r="A41" s="346" t="s">
        <v>128</v>
      </c>
      <c r="B41" s="346" t="s">
        <v>348</v>
      </c>
      <c r="C41" s="343">
        <v>441138.79</v>
      </c>
      <c r="D41" s="343">
        <v>30281150.43</v>
      </c>
    </row>
    <row r="42" spans="1:4" x14ac:dyDescent="0.25">
      <c r="A42" s="346" t="s">
        <v>130</v>
      </c>
      <c r="B42" s="346" t="s">
        <v>349</v>
      </c>
      <c r="C42" s="343">
        <v>147102.64000000001</v>
      </c>
      <c r="D42" s="343">
        <v>10358515.26</v>
      </c>
    </row>
    <row r="43" spans="1:4" x14ac:dyDescent="0.25">
      <c r="A43" s="346" t="s">
        <v>132</v>
      </c>
      <c r="B43" s="346" t="s">
        <v>350</v>
      </c>
      <c r="C43" s="343">
        <v>23248.98</v>
      </c>
      <c r="D43" s="343">
        <v>1596650.33</v>
      </c>
    </row>
    <row r="44" spans="1:4" x14ac:dyDescent="0.25">
      <c r="A44" s="559" t="s">
        <v>134</v>
      </c>
      <c r="B44" s="560"/>
      <c r="C44" s="561">
        <f>SUM(C40:C43)</f>
        <v>845417.40040000051</v>
      </c>
      <c r="D44" s="561">
        <f>SUM(D40:D43)</f>
        <v>61551548.899999999</v>
      </c>
    </row>
    <row r="46" spans="1:4" x14ac:dyDescent="0.25">
      <c r="A46" s="346" t="s">
        <v>326</v>
      </c>
      <c r="B46" s="346" t="s">
        <v>327</v>
      </c>
      <c r="C46" s="343">
        <v>0</v>
      </c>
      <c r="D46" s="343">
        <v>0</v>
      </c>
    </row>
    <row r="47" spans="1:4" x14ac:dyDescent="0.25">
      <c r="A47" s="346" t="s">
        <v>328</v>
      </c>
      <c r="B47" s="346" t="s">
        <v>329</v>
      </c>
      <c r="C47" s="343">
        <v>491678.94</v>
      </c>
      <c r="D47" s="343">
        <v>403079473.68000001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3205288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491678.94</v>
      </c>
      <c r="D50" s="561">
        <f>SUM(D46:D49)</f>
        <v>406284761.68000001</v>
      </c>
    </row>
    <row r="52" spans="1:4" x14ac:dyDescent="0.25">
      <c r="A52" s="346" t="s">
        <v>135</v>
      </c>
      <c r="B52" s="346" t="s">
        <v>385</v>
      </c>
      <c r="C52" s="343">
        <v>-192552319.94999999</v>
      </c>
      <c r="D52" s="343">
        <v>-2033580467.3599999</v>
      </c>
    </row>
    <row r="53" spans="1:4" x14ac:dyDescent="0.25">
      <c r="A53" s="346" t="s">
        <v>137</v>
      </c>
      <c r="B53" s="346" t="s">
        <v>386</v>
      </c>
      <c r="C53" s="343">
        <v>-315590983.35000002</v>
      </c>
      <c r="D53" s="343">
        <v>-3745505384.2199998</v>
      </c>
    </row>
    <row r="54" spans="1:4" x14ac:dyDescent="0.25">
      <c r="A54" s="346" t="s">
        <v>139</v>
      </c>
      <c r="B54" s="346" t="s">
        <v>387</v>
      </c>
      <c r="C54" s="343">
        <v>-140216183.03999999</v>
      </c>
      <c r="D54" s="343">
        <v>-1549172012.97</v>
      </c>
    </row>
    <row r="55" spans="1:4" x14ac:dyDescent="0.25">
      <c r="A55" s="346" t="s">
        <v>141</v>
      </c>
      <c r="B55" s="346" t="s">
        <v>388</v>
      </c>
      <c r="C55" s="343">
        <v>-18924558.710000001</v>
      </c>
      <c r="D55" s="343">
        <v>-173032973.68000001</v>
      </c>
    </row>
    <row r="56" spans="1:4" x14ac:dyDescent="0.25">
      <c r="A56" s="559" t="s">
        <v>143</v>
      </c>
      <c r="B56" s="560"/>
      <c r="C56" s="561">
        <f>SUM(C52:C55)</f>
        <v>-667284045.05000007</v>
      </c>
      <c r="D56" s="561">
        <f>SUM(D52:D55)</f>
        <v>-7501290838.2300005</v>
      </c>
    </row>
    <row r="58" spans="1:4" x14ac:dyDescent="0.25">
      <c r="A58" s="346" t="s">
        <v>351</v>
      </c>
      <c r="B58" s="346" t="s">
        <v>352</v>
      </c>
      <c r="C58" s="343">
        <f>149257.59-'[30]Aug Rollforward Account'!$C$577</f>
        <v>3563474.3195999996</v>
      </c>
      <c r="D58" s="343">
        <v>-9969600.7599999998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3563474.3195999996</v>
      </c>
      <c r="D60" s="343">
        <f>SUM(D58:D59)</f>
        <v>-9969600.7599999998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-5258525.83</v>
      </c>
      <c r="D72" s="343">
        <v>-59192615.240000002</v>
      </c>
    </row>
    <row r="73" spans="1:4" x14ac:dyDescent="0.25">
      <c r="A73" s="346" t="s">
        <v>152</v>
      </c>
      <c r="B73" s="346" t="s">
        <v>41</v>
      </c>
      <c r="C73" s="343">
        <v>-1621367.82</v>
      </c>
      <c r="D73" s="343">
        <v>-19195561.739999998</v>
      </c>
    </row>
    <row r="74" spans="1:4" x14ac:dyDescent="0.25">
      <c r="A74" s="346" t="s">
        <v>153</v>
      </c>
      <c r="B74" s="346" t="s">
        <v>42</v>
      </c>
      <c r="C74" s="343">
        <v>-1237184.97</v>
      </c>
      <c r="D74" s="343">
        <v>-16501446.43</v>
      </c>
    </row>
    <row r="75" spans="1:4" x14ac:dyDescent="0.25">
      <c r="A75" s="346" t="s">
        <v>154</v>
      </c>
      <c r="B75" s="346" t="s">
        <v>43</v>
      </c>
      <c r="C75" s="343">
        <v>-796580.81</v>
      </c>
      <c r="D75" s="343">
        <v>-12085887.560000001</v>
      </c>
    </row>
    <row r="76" spans="1:4" x14ac:dyDescent="0.25">
      <c r="A76" s="559" t="s">
        <v>155</v>
      </c>
      <c r="B76" s="560"/>
      <c r="C76" s="561">
        <f>SUM(C72:C75)</f>
        <v>-8913659.4299999997</v>
      </c>
      <c r="D76" s="561">
        <f>SUM(D72:D75)</f>
        <v>-106975510.97</v>
      </c>
    </row>
    <row r="78" spans="1:4" x14ac:dyDescent="0.25">
      <c r="A78" s="346" t="s">
        <v>156</v>
      </c>
      <c r="B78" s="346" t="s">
        <v>394</v>
      </c>
      <c r="C78" s="343">
        <v>1615957.12</v>
      </c>
      <c r="D78" s="343">
        <v>15719244.15</v>
      </c>
    </row>
    <row r="79" spans="1:4" x14ac:dyDescent="0.25">
      <c r="A79" s="346" t="s">
        <v>158</v>
      </c>
      <c r="B79" s="346" t="s">
        <v>395</v>
      </c>
      <c r="C79" s="343">
        <v>492930.52</v>
      </c>
      <c r="D79" s="343">
        <v>4646856.34</v>
      </c>
    </row>
    <row r="80" spans="1:4" x14ac:dyDescent="0.25">
      <c r="A80" s="346" t="s">
        <v>160</v>
      </c>
      <c r="B80" s="346" t="s">
        <v>396</v>
      </c>
      <c r="C80" s="343">
        <v>35096.67</v>
      </c>
      <c r="D80" s="343">
        <v>518889.83</v>
      </c>
    </row>
    <row r="81" spans="1:4" x14ac:dyDescent="0.25">
      <c r="A81" s="346" t="s">
        <v>162</v>
      </c>
      <c r="B81" s="346" t="s">
        <v>397</v>
      </c>
      <c r="C81" s="343">
        <v>115534.93</v>
      </c>
      <c r="D81" s="343">
        <v>1072284.01</v>
      </c>
    </row>
    <row r="82" spans="1:4" x14ac:dyDescent="0.25">
      <c r="A82" s="559" t="s">
        <v>164</v>
      </c>
      <c r="B82" s="560"/>
      <c r="C82" s="561">
        <f>SUM(C78:C81)</f>
        <v>2259519.2400000002</v>
      </c>
      <c r="D82" s="561">
        <f>SUM(D78:D81)</f>
        <v>21957274.330000002</v>
      </c>
    </row>
    <row r="84" spans="1:4" x14ac:dyDescent="0.25">
      <c r="A84" s="559" t="s">
        <v>31</v>
      </c>
      <c r="B84" s="560"/>
      <c r="C84" s="561">
        <f>C14+C20+C26+C32+C44+C56+C62+C70+C76+C82+C50+C38+C60</f>
        <v>43887481.059999958</v>
      </c>
      <c r="D84" s="561">
        <f>D14+D20+D26+D32+D44+D56+D62+D70+D76+D82+D50+D38+D60</f>
        <v>964453071.21000028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46" zoomScaleNormal="100" workbookViewId="0">
      <selection activeCell="C52" sqref="C52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75" t="s">
        <v>86</v>
      </c>
      <c r="C2" s="576"/>
      <c r="D2" s="576"/>
    </row>
    <row r="3" spans="1:4" x14ac:dyDescent="0.25">
      <c r="B3" s="555" t="s">
        <v>424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425</v>
      </c>
      <c r="C5" s="342"/>
      <c r="D5" s="342"/>
    </row>
    <row r="7" spans="1:4" x14ac:dyDescent="0.25">
      <c r="B7" s="344" t="s">
        <v>30</v>
      </c>
      <c r="C7" s="345" t="s">
        <v>199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196318115.02000001</v>
      </c>
      <c r="D9" s="347">
        <v>2356106690.9400001</v>
      </c>
    </row>
    <row r="10" spans="1:4" x14ac:dyDescent="0.25">
      <c r="A10" s="346" t="s">
        <v>94</v>
      </c>
      <c r="B10" s="346" t="s">
        <v>35</v>
      </c>
      <c r="C10" s="343">
        <v>370216091.17000002</v>
      </c>
      <c r="D10" s="343">
        <v>4502539557</v>
      </c>
    </row>
    <row r="11" spans="1:4" x14ac:dyDescent="0.25">
      <c r="A11" s="346" t="s">
        <v>95</v>
      </c>
      <c r="B11" s="346" t="s">
        <v>36</v>
      </c>
      <c r="C11" s="343">
        <v>123452663.58</v>
      </c>
      <c r="D11" s="343">
        <v>1692994797.02</v>
      </c>
    </row>
    <row r="12" spans="1:4" x14ac:dyDescent="0.25">
      <c r="A12" s="346" t="s">
        <v>96</v>
      </c>
      <c r="B12" s="346" t="s">
        <v>37</v>
      </c>
      <c r="C12" s="343">
        <v>19511196.850000001</v>
      </c>
      <c r="D12" s="343">
        <v>238968596.06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709498066.62000012</v>
      </c>
      <c r="D14" s="561">
        <f>SUM(D9:D13)</f>
        <v>8790609641.0200005</v>
      </c>
    </row>
    <row r="16" spans="1:4" x14ac:dyDescent="0.25">
      <c r="A16" s="346" t="s">
        <v>99</v>
      </c>
      <c r="B16" s="346" t="s">
        <v>100</v>
      </c>
      <c r="C16" s="343">
        <v>342840.22</v>
      </c>
      <c r="D16" s="343">
        <v>2471765.84</v>
      </c>
    </row>
    <row r="17" spans="1:4" x14ac:dyDescent="0.25">
      <c r="A17" s="346" t="s">
        <v>101</v>
      </c>
      <c r="B17" s="346" t="s">
        <v>102</v>
      </c>
      <c r="C17" s="343">
        <v>646526.94999999995</v>
      </c>
      <c r="D17" s="343">
        <v>4715816.28</v>
      </c>
    </row>
    <row r="18" spans="1:4" x14ac:dyDescent="0.25">
      <c r="A18" s="346" t="s">
        <v>103</v>
      </c>
      <c r="B18" s="346" t="s">
        <v>104</v>
      </c>
      <c r="C18" s="343">
        <v>289884.2</v>
      </c>
      <c r="D18" s="343">
        <v>2599340.8199999998</v>
      </c>
    </row>
    <row r="19" spans="1:4" x14ac:dyDescent="0.25">
      <c r="A19" s="346" t="s">
        <v>105</v>
      </c>
      <c r="B19" s="346" t="s">
        <v>106</v>
      </c>
      <c r="C19" s="343">
        <v>34073.379999999997</v>
      </c>
      <c r="D19" s="343">
        <v>246359.66</v>
      </c>
    </row>
    <row r="20" spans="1:4" x14ac:dyDescent="0.25">
      <c r="A20" s="559" t="s">
        <v>107</v>
      </c>
      <c r="B20" s="560"/>
      <c r="C20" s="561">
        <f>SUM(C16:C19)</f>
        <v>1313324.7499999998</v>
      </c>
      <c r="D20" s="561">
        <f>SUM(D16:D19)</f>
        <v>10033282.6</v>
      </c>
    </row>
    <row r="22" spans="1:4" x14ac:dyDescent="0.25">
      <c r="A22" s="346" t="s">
        <v>108</v>
      </c>
      <c r="B22" s="346" t="s">
        <v>109</v>
      </c>
      <c r="C22" s="343">
        <v>89110</v>
      </c>
      <c r="D22" s="343">
        <v>911048.71</v>
      </c>
    </row>
    <row r="23" spans="1:4" x14ac:dyDescent="0.25">
      <c r="A23" s="346" t="s">
        <v>110</v>
      </c>
      <c r="B23" s="346" t="s">
        <v>111</v>
      </c>
      <c r="C23" s="343">
        <v>168043.36</v>
      </c>
      <c r="D23" s="343">
        <v>1735497.4</v>
      </c>
    </row>
    <row r="24" spans="1:4" x14ac:dyDescent="0.25">
      <c r="A24" s="346" t="s">
        <v>112</v>
      </c>
      <c r="B24" s="346" t="s">
        <v>113</v>
      </c>
      <c r="C24" s="343">
        <v>56035.92</v>
      </c>
      <c r="D24" s="343">
        <v>641997.56999999995</v>
      </c>
    </row>
    <row r="25" spans="1:4" x14ac:dyDescent="0.25">
      <c r="A25" s="346" t="s">
        <v>114</v>
      </c>
      <c r="B25" s="346" t="s">
        <v>115</v>
      </c>
      <c r="C25" s="343">
        <v>8856.24</v>
      </c>
      <c r="D25" s="343">
        <v>91895.63</v>
      </c>
    </row>
    <row r="26" spans="1:4" x14ac:dyDescent="0.25">
      <c r="A26" s="559" t="s">
        <v>116</v>
      </c>
      <c r="B26" s="560"/>
      <c r="C26" s="561">
        <f>SUM(C22:C25)</f>
        <v>322045.51999999996</v>
      </c>
      <c r="D26" s="561">
        <f>SUM(D22:D25)</f>
        <v>3380439.3099999996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1481.53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2827.68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1050.73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150.28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5510.22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-1151733.18</v>
      </c>
      <c r="D40" s="343">
        <v>18163499.699999999</v>
      </c>
    </row>
    <row r="41" spans="1:4" x14ac:dyDescent="0.25">
      <c r="A41" s="346" t="s">
        <v>128</v>
      </c>
      <c r="B41" s="346" t="s">
        <v>348</v>
      </c>
      <c r="C41" s="343">
        <v>-2171934.83</v>
      </c>
      <c r="D41" s="343">
        <v>28109215.600000001</v>
      </c>
    </row>
    <row r="42" spans="1:4" x14ac:dyDescent="0.25">
      <c r="A42" s="346" t="s">
        <v>130</v>
      </c>
      <c r="B42" s="346" t="s">
        <v>349</v>
      </c>
      <c r="C42" s="343">
        <v>-952086.47</v>
      </c>
      <c r="D42" s="343">
        <v>9406428.7899999991</v>
      </c>
    </row>
    <row r="43" spans="1:4" x14ac:dyDescent="0.25">
      <c r="A43" s="346" t="s">
        <v>132</v>
      </c>
      <c r="B43" s="346" t="s">
        <v>350</v>
      </c>
      <c r="C43" s="343">
        <v>-114465.7</v>
      </c>
      <c r="D43" s="343">
        <v>1482184.63</v>
      </c>
    </row>
    <row r="44" spans="1:4" x14ac:dyDescent="0.25">
      <c r="A44" s="559" t="s">
        <v>134</v>
      </c>
      <c r="B44" s="560"/>
      <c r="C44" s="561">
        <f>SUM(C40:C43)</f>
        <v>-4390220.18</v>
      </c>
      <c r="D44" s="561">
        <f>SUM(D40:D43)</f>
        <v>57161328.719999999</v>
      </c>
    </row>
    <row r="46" spans="1:4" x14ac:dyDescent="0.25">
      <c r="A46" s="346" t="s">
        <v>326</v>
      </c>
      <c r="B46" s="346" t="s">
        <v>327</v>
      </c>
      <c r="C46" s="343">
        <v>-1397610.55</v>
      </c>
      <c r="D46" s="343">
        <v>-1397610.55</v>
      </c>
    </row>
    <row r="47" spans="1:4" x14ac:dyDescent="0.25">
      <c r="A47" s="346" t="s">
        <v>328</v>
      </c>
      <c r="B47" s="346" t="s">
        <v>329</v>
      </c>
      <c r="C47" s="343">
        <v>-25422894.940000001</v>
      </c>
      <c r="D47" s="343">
        <v>377656578.74000001</v>
      </c>
    </row>
    <row r="48" spans="1:4" x14ac:dyDescent="0.25">
      <c r="A48" s="346" t="s">
        <v>330</v>
      </c>
      <c r="B48" s="346" t="s">
        <v>331</v>
      </c>
      <c r="C48" s="343">
        <v>-31604141</v>
      </c>
      <c r="D48" s="343">
        <v>-28398853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-58424646.490000002</v>
      </c>
      <c r="D50" s="561">
        <f>SUM(D46:D49)</f>
        <v>347860115.19</v>
      </c>
    </row>
    <row r="52" spans="1:4" x14ac:dyDescent="0.25">
      <c r="A52" s="346" t="s">
        <v>135</v>
      </c>
      <c r="B52" s="346" t="s">
        <v>385</v>
      </c>
      <c r="C52" s="343">
        <v>-241638301.68000001</v>
      </c>
      <c r="D52" s="343">
        <v>-2275218769.04</v>
      </c>
    </row>
    <row r="53" spans="1:4" x14ac:dyDescent="0.25">
      <c r="A53" s="346" t="s">
        <v>137</v>
      </c>
      <c r="B53" s="346" t="s">
        <v>386</v>
      </c>
      <c r="C53" s="343">
        <v>-335525565.94999999</v>
      </c>
      <c r="D53" s="343">
        <v>-4081030950.1700001</v>
      </c>
    </row>
    <row r="54" spans="1:4" x14ac:dyDescent="0.25">
      <c r="A54" s="346" t="s">
        <v>139</v>
      </c>
      <c r="B54" s="346" t="s">
        <v>387</v>
      </c>
      <c r="C54" s="343">
        <v>-105106914.65000001</v>
      </c>
      <c r="D54" s="343">
        <v>-1654278927.6199999</v>
      </c>
    </row>
    <row r="55" spans="1:4" x14ac:dyDescent="0.25">
      <c r="A55" s="346" t="s">
        <v>141</v>
      </c>
      <c r="B55" s="346" t="s">
        <v>388</v>
      </c>
      <c r="C55" s="343">
        <v>-12489117.32</v>
      </c>
      <c r="D55" s="343">
        <v>-185522091</v>
      </c>
    </row>
    <row r="56" spans="1:4" x14ac:dyDescent="0.25">
      <c r="A56" s="559" t="s">
        <v>143</v>
      </c>
      <c r="B56" s="560"/>
      <c r="C56" s="561">
        <f>SUM(C52:C55)</f>
        <v>-694759899.60000002</v>
      </c>
      <c r="D56" s="561">
        <f>SUM(D52:D55)</f>
        <v>-8196050737.8299999</v>
      </c>
    </row>
    <row r="58" spans="1:4" x14ac:dyDescent="0.25">
      <c r="A58" s="346" t="s">
        <v>351</v>
      </c>
      <c r="B58" s="346" t="s">
        <v>352</v>
      </c>
      <c r="C58" s="343">
        <v>587720.38</v>
      </c>
      <c r="D58" s="343">
        <v>-9381880.3800000008</v>
      </c>
    </row>
    <row r="59" spans="1:4" x14ac:dyDescent="0.25">
      <c r="A59" s="346" t="s">
        <v>353</v>
      </c>
      <c r="B59" s="346" t="s">
        <v>354</v>
      </c>
      <c r="C59" s="343">
        <v>-274302.65999999997</v>
      </c>
      <c r="D59" s="343">
        <v>-274302.65999999997</v>
      </c>
    </row>
    <row r="60" spans="1:4" x14ac:dyDescent="0.25">
      <c r="C60" s="343">
        <f>SUM(C58:C59)</f>
        <v>313417.72000000003</v>
      </c>
      <c r="D60" s="343">
        <f>SUM(D58:D59)</f>
        <v>-9656183.040000001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-5746162.6500000004</v>
      </c>
      <c r="D72" s="343">
        <v>-64938777.890000001</v>
      </c>
    </row>
    <row r="73" spans="1:4" x14ac:dyDescent="0.25">
      <c r="A73" s="346" t="s">
        <v>152</v>
      </c>
      <c r="B73" s="346" t="s">
        <v>41</v>
      </c>
      <c r="C73" s="343">
        <v>-2020865.9</v>
      </c>
      <c r="D73" s="343">
        <v>-21216427.640000001</v>
      </c>
    </row>
    <row r="74" spans="1:4" x14ac:dyDescent="0.25">
      <c r="A74" s="346" t="s">
        <v>153</v>
      </c>
      <c r="B74" s="346" t="s">
        <v>42</v>
      </c>
      <c r="C74" s="343">
        <v>-1203189.92</v>
      </c>
      <c r="D74" s="343">
        <v>-17704636.350000001</v>
      </c>
    </row>
    <row r="75" spans="1:4" x14ac:dyDescent="0.25">
      <c r="A75" s="346" t="s">
        <v>154</v>
      </c>
      <c r="B75" s="346" t="s">
        <v>43</v>
      </c>
      <c r="C75" s="343">
        <v>-824929.76</v>
      </c>
      <c r="D75" s="343">
        <v>-12910817.32</v>
      </c>
    </row>
    <row r="76" spans="1:4" x14ac:dyDescent="0.25">
      <c r="A76" s="559" t="s">
        <v>155</v>
      </c>
      <c r="B76" s="560"/>
      <c r="C76" s="561">
        <f>SUM(C72:C75)</f>
        <v>-9795148.2300000004</v>
      </c>
      <c r="D76" s="561">
        <f>SUM(D72:D75)</f>
        <v>-116770659.19999999</v>
      </c>
    </row>
    <row r="78" spans="1:4" x14ac:dyDescent="0.25">
      <c r="A78" s="346" t="s">
        <v>156</v>
      </c>
      <c r="B78" s="346" t="s">
        <v>394</v>
      </c>
      <c r="C78" s="343">
        <v>1826151.45</v>
      </c>
      <c r="D78" s="343">
        <v>17545395.600000001</v>
      </c>
    </row>
    <row r="79" spans="1:4" x14ac:dyDescent="0.25">
      <c r="A79" s="346" t="s">
        <v>158</v>
      </c>
      <c r="B79" s="346" t="s">
        <v>395</v>
      </c>
      <c r="C79" s="343">
        <v>557227.84</v>
      </c>
      <c r="D79" s="343">
        <v>5204084.18</v>
      </c>
    </row>
    <row r="80" spans="1:4" x14ac:dyDescent="0.25">
      <c r="A80" s="346" t="s">
        <v>160</v>
      </c>
      <c r="B80" s="346" t="s">
        <v>396</v>
      </c>
      <c r="C80" s="343">
        <v>39491.519999999997</v>
      </c>
      <c r="D80" s="343">
        <v>558381.35</v>
      </c>
    </row>
    <row r="81" spans="1:4" x14ac:dyDescent="0.25">
      <c r="A81" s="346" t="s">
        <v>162</v>
      </c>
      <c r="B81" s="346" t="s">
        <v>397</v>
      </c>
      <c r="C81" s="343">
        <v>130589.65</v>
      </c>
      <c r="D81" s="343">
        <v>1202873.6599999999</v>
      </c>
    </row>
    <row r="82" spans="1:4" x14ac:dyDescent="0.25">
      <c r="A82" s="559" t="s">
        <v>164</v>
      </c>
      <c r="B82" s="560"/>
      <c r="C82" s="561">
        <f>SUM(C78:C81)</f>
        <v>2553460.46</v>
      </c>
      <c r="D82" s="561">
        <f>SUM(D78:D81)</f>
        <v>24510734.790000003</v>
      </c>
    </row>
    <row r="84" spans="1:4" x14ac:dyDescent="0.25">
      <c r="A84" s="559" t="s">
        <v>31</v>
      </c>
      <c r="B84" s="560"/>
      <c r="C84" s="561">
        <f>C14+C20+C26+C32+C44+C56+C62+C70+C76+C82+C50+C38+C60</f>
        <v>-53369599.429999873</v>
      </c>
      <c r="D84" s="561">
        <f>D14+D20+D26+D32+D44+D56+D62+D70+D76+D82+D50+D38+D60</f>
        <v>911083471.77999902</v>
      </c>
    </row>
  </sheetData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pane ySplit="8" topLeftCell="A52" activePane="bottomLeft" state="frozenSplit"/>
      <selection pane="bottomLeft" activeCell="B39" sqref="B39"/>
    </sheetView>
  </sheetViews>
  <sheetFormatPr defaultColWidth="9.109375" defaultRowHeight="13.2" x14ac:dyDescent="0.25"/>
  <cols>
    <col min="1" max="1" width="30.6640625" style="490" customWidth="1"/>
    <col min="2" max="2" width="33.6640625" style="490" customWidth="1"/>
    <col min="3" max="5" width="22.6640625" style="501" customWidth="1"/>
    <col min="6" max="16384" width="9.109375" style="490"/>
  </cols>
  <sheetData>
    <row r="1" spans="1:5" x14ac:dyDescent="0.25">
      <c r="C1" s="491" t="s">
        <v>53</v>
      </c>
      <c r="D1" s="492"/>
      <c r="E1" s="492"/>
    </row>
    <row r="2" spans="1:5" x14ac:dyDescent="0.25">
      <c r="C2" s="493" t="s">
        <v>86</v>
      </c>
      <c r="D2" s="494"/>
      <c r="E2" s="494"/>
    </row>
    <row r="3" spans="1:5" x14ac:dyDescent="0.25">
      <c r="C3" s="491" t="s">
        <v>365</v>
      </c>
      <c r="D3" s="492"/>
      <c r="E3" s="492"/>
    </row>
    <row r="4" spans="1:5" x14ac:dyDescent="0.25">
      <c r="C4" s="491" t="s">
        <v>88</v>
      </c>
      <c r="D4" s="492"/>
      <c r="E4" s="492"/>
    </row>
    <row r="5" spans="1:5" x14ac:dyDescent="0.25">
      <c r="C5" s="495" t="s">
        <v>367</v>
      </c>
      <c r="D5" s="496"/>
      <c r="E5" s="496"/>
    </row>
    <row r="7" spans="1:5" x14ac:dyDescent="0.25">
      <c r="B7" s="497" t="s">
        <v>30</v>
      </c>
      <c r="C7" s="498" t="s">
        <v>90</v>
      </c>
      <c r="D7" s="498" t="s">
        <v>193</v>
      </c>
      <c r="E7" s="498" t="s">
        <v>92</v>
      </c>
    </row>
    <row r="9" spans="1:5" x14ac:dyDescent="0.25">
      <c r="A9" s="499" t="s">
        <v>93</v>
      </c>
      <c r="B9" s="499" t="s">
        <v>34</v>
      </c>
      <c r="C9" s="500">
        <v>1791824689.9000001</v>
      </c>
      <c r="D9" s="500">
        <v>188161329.34999999</v>
      </c>
      <c r="E9" s="500">
        <v>1979986019.25</v>
      </c>
    </row>
    <row r="10" spans="1:5" x14ac:dyDescent="0.25">
      <c r="A10" s="499" t="s">
        <v>94</v>
      </c>
      <c r="B10" s="499" t="s">
        <v>35</v>
      </c>
      <c r="C10" s="501">
        <v>3429838421.6599998</v>
      </c>
      <c r="D10" s="501">
        <v>379786295.18000001</v>
      </c>
      <c r="E10" s="501">
        <v>3809624716.8400002</v>
      </c>
    </row>
    <row r="11" spans="1:5" x14ac:dyDescent="0.25">
      <c r="A11" s="499" t="s">
        <v>95</v>
      </c>
      <c r="B11" s="499" t="s">
        <v>36</v>
      </c>
      <c r="C11" s="501">
        <v>1819028773.51</v>
      </c>
      <c r="D11" s="501">
        <v>165802664.72999999</v>
      </c>
      <c r="E11" s="501">
        <v>1984831438.24</v>
      </c>
    </row>
    <row r="12" spans="1:5" x14ac:dyDescent="0.25">
      <c r="A12" s="499" t="s">
        <v>96</v>
      </c>
      <c r="B12" s="499" t="s">
        <v>37</v>
      </c>
      <c r="C12" s="501">
        <v>84687751.689999998</v>
      </c>
      <c r="D12" s="501">
        <v>10309126.77</v>
      </c>
      <c r="E12" s="501">
        <v>94996878.459999993</v>
      </c>
    </row>
    <row r="13" spans="1:5" x14ac:dyDescent="0.25">
      <c r="A13" s="499" t="s">
        <v>97</v>
      </c>
      <c r="B13" s="499" t="s">
        <v>38</v>
      </c>
      <c r="C13" s="501">
        <v>0</v>
      </c>
      <c r="D13" s="501">
        <v>0</v>
      </c>
      <c r="E13" s="501">
        <v>0</v>
      </c>
    </row>
    <row r="14" spans="1:5" x14ac:dyDescent="0.25">
      <c r="A14" s="502" t="s">
        <v>98</v>
      </c>
      <c r="B14" s="503"/>
      <c r="C14" s="504">
        <f>SUM(C9:C13)</f>
        <v>7125379636.7599993</v>
      </c>
      <c r="D14" s="504">
        <f>SUM(D9:D13)</f>
        <v>744059416.02999997</v>
      </c>
      <c r="E14" s="504">
        <f>SUM(E9:E13)</f>
        <v>7869439052.79</v>
      </c>
    </row>
    <row r="16" spans="1:5" x14ac:dyDescent="0.25">
      <c r="A16" s="499" t="s">
        <v>99</v>
      </c>
      <c r="B16" s="499" t="s">
        <v>100</v>
      </c>
      <c r="C16" s="501">
        <v>1179564.25</v>
      </c>
      <c r="D16" s="501">
        <v>-2568.25</v>
      </c>
      <c r="E16" s="501">
        <v>1176996</v>
      </c>
    </row>
    <row r="17" spans="1:5" x14ac:dyDescent="0.25">
      <c r="A17" s="499" t="s">
        <v>101</v>
      </c>
      <c r="B17" s="499" t="s">
        <v>102</v>
      </c>
      <c r="C17" s="501">
        <v>2259855.96</v>
      </c>
      <c r="D17" s="501">
        <v>-4783.45</v>
      </c>
      <c r="E17" s="501">
        <v>2255072.5099999998</v>
      </c>
    </row>
    <row r="18" spans="1:5" x14ac:dyDescent="0.25">
      <c r="A18" s="499" t="s">
        <v>103</v>
      </c>
      <c r="B18" s="499" t="s">
        <v>104</v>
      </c>
      <c r="C18" s="501">
        <v>1774915.62</v>
      </c>
      <c r="D18" s="501">
        <v>55305.78</v>
      </c>
      <c r="E18" s="501">
        <v>1830221.4</v>
      </c>
    </row>
    <row r="19" spans="1:5" x14ac:dyDescent="0.25">
      <c r="A19" s="499" t="s">
        <v>105</v>
      </c>
      <c r="B19" s="499" t="s">
        <v>106</v>
      </c>
      <c r="C19" s="501">
        <v>54255.91</v>
      </c>
      <c r="D19" s="501">
        <v>-475.03</v>
      </c>
      <c r="E19" s="501">
        <v>53780.88</v>
      </c>
    </row>
    <row r="20" spans="1:5" x14ac:dyDescent="0.25">
      <c r="A20" s="502" t="s">
        <v>107</v>
      </c>
      <c r="B20" s="503"/>
      <c r="C20" s="504">
        <f>SUM(C16:C19)</f>
        <v>5268591.74</v>
      </c>
      <c r="D20" s="504">
        <f>SUM(D16:D19)</f>
        <v>47479.05</v>
      </c>
      <c r="E20" s="504">
        <f>SUM(E16:E19)</f>
        <v>5316070.79</v>
      </c>
    </row>
    <row r="22" spans="1:5" x14ac:dyDescent="0.25">
      <c r="A22" s="499" t="s">
        <v>108</v>
      </c>
      <c r="B22" s="499" t="s">
        <v>109</v>
      </c>
      <c r="C22" s="501">
        <v>22968.84</v>
      </c>
      <c r="D22" s="501">
        <v>168413.13</v>
      </c>
      <c r="E22" s="501">
        <v>191381.97</v>
      </c>
    </row>
    <row r="23" spans="1:5" x14ac:dyDescent="0.25">
      <c r="A23" s="499" t="s">
        <v>110</v>
      </c>
      <c r="B23" s="499" t="s">
        <v>111</v>
      </c>
      <c r="C23" s="501">
        <v>39856.019999999997</v>
      </c>
      <c r="D23" s="501">
        <v>339890.75</v>
      </c>
      <c r="E23" s="501">
        <v>379746.77</v>
      </c>
    </row>
    <row r="24" spans="1:5" x14ac:dyDescent="0.25">
      <c r="A24" s="499" t="s">
        <v>112</v>
      </c>
      <c r="B24" s="499" t="s">
        <v>113</v>
      </c>
      <c r="C24" s="501">
        <v>50682.81</v>
      </c>
      <c r="D24" s="501">
        <v>148693.92000000001</v>
      </c>
      <c r="E24" s="501">
        <v>199376.73</v>
      </c>
    </row>
    <row r="25" spans="1:5" x14ac:dyDescent="0.25">
      <c r="A25" s="499" t="s">
        <v>114</v>
      </c>
      <c r="B25" s="499" t="s">
        <v>115</v>
      </c>
      <c r="C25" s="501">
        <v>4423.07</v>
      </c>
      <c r="D25" s="501">
        <v>9193.36</v>
      </c>
      <c r="E25" s="501">
        <v>13616.43</v>
      </c>
    </row>
    <row r="26" spans="1:5" x14ac:dyDescent="0.25">
      <c r="A26" s="502" t="s">
        <v>116</v>
      </c>
      <c r="B26" s="503"/>
      <c r="C26" s="504">
        <f>SUM(C22:C25)</f>
        <v>117930.73999999999</v>
      </c>
      <c r="D26" s="504">
        <f>SUM(D22:D25)</f>
        <v>666191.16</v>
      </c>
      <c r="E26" s="504">
        <f>SUM(E22:E25)</f>
        <v>784121.9</v>
      </c>
    </row>
    <row r="28" spans="1:5" x14ac:dyDescent="0.25">
      <c r="A28" s="499" t="s">
        <v>117</v>
      </c>
      <c r="B28" s="499" t="s">
        <v>118</v>
      </c>
      <c r="C28" s="501">
        <v>1019.6</v>
      </c>
      <c r="D28" s="501">
        <v>252.8</v>
      </c>
      <c r="E28" s="501">
        <v>1272.4000000000001</v>
      </c>
    </row>
    <row r="29" spans="1:5" x14ac:dyDescent="0.25">
      <c r="A29" s="499" t="s">
        <v>119</v>
      </c>
      <c r="B29" s="499" t="s">
        <v>120</v>
      </c>
      <c r="C29" s="501">
        <v>1965.3</v>
      </c>
      <c r="D29" s="501">
        <v>510.2</v>
      </c>
      <c r="E29" s="501">
        <v>2475.5</v>
      </c>
    </row>
    <row r="30" spans="1:5" x14ac:dyDescent="0.25">
      <c r="A30" s="499" t="s">
        <v>121</v>
      </c>
      <c r="B30" s="499" t="s">
        <v>122</v>
      </c>
      <c r="C30" s="501">
        <v>967.5</v>
      </c>
      <c r="D30" s="501">
        <v>223.2</v>
      </c>
      <c r="E30" s="501">
        <v>1190.7</v>
      </c>
    </row>
    <row r="31" spans="1:5" x14ac:dyDescent="0.25">
      <c r="A31" s="499" t="s">
        <v>123</v>
      </c>
      <c r="B31" s="499" t="s">
        <v>124</v>
      </c>
      <c r="C31" s="501">
        <v>47.6</v>
      </c>
      <c r="D31" s="501">
        <v>13.8</v>
      </c>
      <c r="E31" s="501">
        <v>61.4</v>
      </c>
    </row>
    <row r="32" spans="1:5" x14ac:dyDescent="0.25">
      <c r="A32" s="502" t="s">
        <v>125</v>
      </c>
      <c r="B32" s="503"/>
      <c r="C32" s="504">
        <f>SUM(C28:C31)</f>
        <v>4000</v>
      </c>
      <c r="D32" s="504">
        <f>SUM(D28:D31)</f>
        <v>1000</v>
      </c>
      <c r="E32" s="504">
        <f>SUM(E28:E31)</f>
        <v>5000</v>
      </c>
    </row>
    <row r="34" spans="1:5" x14ac:dyDescent="0.25">
      <c r="A34" s="499" t="s">
        <v>317</v>
      </c>
      <c r="B34" s="499" t="s">
        <v>318</v>
      </c>
      <c r="C34" s="501">
        <v>0</v>
      </c>
      <c r="D34" s="501">
        <v>0</v>
      </c>
      <c r="E34" s="501">
        <v>0</v>
      </c>
    </row>
    <row r="35" spans="1:5" x14ac:dyDescent="0.25">
      <c r="A35" s="499" t="s">
        <v>319</v>
      </c>
      <c r="B35" s="499" t="s">
        <v>320</v>
      </c>
      <c r="C35" s="501">
        <v>0</v>
      </c>
      <c r="D35" s="501">
        <v>0</v>
      </c>
      <c r="E35" s="501">
        <v>0</v>
      </c>
    </row>
    <row r="36" spans="1:5" x14ac:dyDescent="0.25">
      <c r="A36" s="499" t="s">
        <v>321</v>
      </c>
      <c r="B36" s="499" t="s">
        <v>322</v>
      </c>
      <c r="C36" s="501">
        <v>0</v>
      </c>
      <c r="D36" s="501">
        <v>0</v>
      </c>
      <c r="E36" s="501">
        <v>0</v>
      </c>
    </row>
    <row r="37" spans="1:5" x14ac:dyDescent="0.25">
      <c r="A37" s="499" t="s">
        <v>323</v>
      </c>
      <c r="B37" s="499" t="s">
        <v>324</v>
      </c>
      <c r="C37" s="501">
        <v>0</v>
      </c>
      <c r="D37" s="501">
        <v>0</v>
      </c>
      <c r="E37" s="501">
        <v>0</v>
      </c>
    </row>
    <row r="38" spans="1:5" x14ac:dyDescent="0.25">
      <c r="A38" s="502" t="s">
        <v>325</v>
      </c>
      <c r="B38" s="503"/>
      <c r="C38" s="504">
        <f>SUM(C34:C37)</f>
        <v>0</v>
      </c>
      <c r="D38" s="504">
        <f>SUM(D34:D37)</f>
        <v>0</v>
      </c>
      <c r="E38" s="504">
        <f>SUM(E34:E37)</f>
        <v>0</v>
      </c>
    </row>
    <row r="40" spans="1:5" x14ac:dyDescent="0.25">
      <c r="A40" s="499" t="s">
        <v>126</v>
      </c>
      <c r="B40" s="499" t="s">
        <v>347</v>
      </c>
      <c r="C40" s="501">
        <v>-8987167.3200000003</v>
      </c>
      <c r="D40" s="501">
        <v>92154.03</v>
      </c>
      <c r="E40" s="501">
        <v>-8895013.2899999991</v>
      </c>
    </row>
    <row r="41" spans="1:5" x14ac:dyDescent="0.25">
      <c r="A41" s="499" t="s">
        <v>128</v>
      </c>
      <c r="B41" s="499" t="s">
        <v>348</v>
      </c>
      <c r="C41" s="501">
        <v>-17783141.670000002</v>
      </c>
      <c r="D41" s="501">
        <v>183040.41</v>
      </c>
      <c r="E41" s="501">
        <v>-17600101.260000002</v>
      </c>
    </row>
    <row r="42" spans="1:5" x14ac:dyDescent="0.25">
      <c r="A42" s="499" t="s">
        <v>130</v>
      </c>
      <c r="B42" s="499" t="s">
        <v>349</v>
      </c>
      <c r="C42" s="501">
        <v>-8875089.5899999999</v>
      </c>
      <c r="D42" s="501">
        <v>83586.92</v>
      </c>
      <c r="E42" s="501">
        <v>-8791502.6699999999</v>
      </c>
    </row>
    <row r="43" spans="1:5" x14ac:dyDescent="0.25">
      <c r="A43" s="499" t="s">
        <v>132</v>
      </c>
      <c r="B43" s="499" t="s">
        <v>350</v>
      </c>
      <c r="C43" s="501">
        <v>-407456.15</v>
      </c>
      <c r="D43" s="501">
        <v>5125.25</v>
      </c>
      <c r="E43" s="501">
        <v>-402330.9</v>
      </c>
    </row>
    <row r="44" spans="1:5" x14ac:dyDescent="0.25">
      <c r="A44" s="502" t="s">
        <v>134</v>
      </c>
      <c r="B44" s="503"/>
      <c r="C44" s="504">
        <f>SUM(C40:C43)</f>
        <v>-36052854.729999997</v>
      </c>
      <c r="D44" s="504">
        <f>SUM(D40:D43)</f>
        <v>363906.61</v>
      </c>
      <c r="E44" s="504">
        <f>SUM(E40:E43)</f>
        <v>-35688948.119999997</v>
      </c>
    </row>
    <row r="46" spans="1:5" x14ac:dyDescent="0.25">
      <c r="A46" s="499" t="s">
        <v>326</v>
      </c>
      <c r="B46" s="499" t="s">
        <v>327</v>
      </c>
      <c r="C46" s="501">
        <v>0</v>
      </c>
      <c r="D46" s="501">
        <v>0</v>
      </c>
      <c r="E46" s="501">
        <v>0</v>
      </c>
    </row>
    <row r="47" spans="1:5" x14ac:dyDescent="0.25">
      <c r="A47" s="499" t="s">
        <v>328</v>
      </c>
      <c r="B47" s="499" t="s">
        <v>329</v>
      </c>
      <c r="C47" s="501">
        <v>13452399</v>
      </c>
      <c r="D47" s="501">
        <v>-437643</v>
      </c>
      <c r="E47" s="501">
        <v>13014756</v>
      </c>
    </row>
    <row r="48" spans="1:5" x14ac:dyDescent="0.25">
      <c r="A48" s="499" t="s">
        <v>330</v>
      </c>
      <c r="B48" s="499" t="s">
        <v>331</v>
      </c>
      <c r="C48" s="501">
        <v>-35229425</v>
      </c>
      <c r="D48" s="501">
        <v>-6864474</v>
      </c>
      <c r="E48" s="501">
        <v>-42093899</v>
      </c>
    </row>
    <row r="49" spans="1:5" x14ac:dyDescent="0.25">
      <c r="A49" s="499" t="s">
        <v>332</v>
      </c>
      <c r="B49" s="499" t="s">
        <v>333</v>
      </c>
      <c r="C49" s="501">
        <v>0</v>
      </c>
      <c r="D49" s="501">
        <v>0</v>
      </c>
      <c r="E49" s="501">
        <v>0</v>
      </c>
    </row>
    <row r="50" spans="1:5" x14ac:dyDescent="0.25">
      <c r="A50" s="502" t="s">
        <v>334</v>
      </c>
      <c r="B50" s="503"/>
      <c r="C50" s="504">
        <f>SUM(C46:C49)</f>
        <v>-21777026</v>
      </c>
      <c r="D50" s="504">
        <f>SUM(D46:D49)</f>
        <v>-7302117</v>
      </c>
      <c r="E50" s="504">
        <f>SUM(E46:E49)</f>
        <v>-29079143</v>
      </c>
    </row>
    <row r="52" spans="1:5" x14ac:dyDescent="0.25">
      <c r="A52" s="499" t="s">
        <v>135</v>
      </c>
      <c r="B52" s="499" t="s">
        <v>136</v>
      </c>
      <c r="C52" s="501">
        <v>-1539326532.0899999</v>
      </c>
      <c r="D52" s="501">
        <v>-201329125.75</v>
      </c>
      <c r="E52" s="501">
        <v>-1740655657.8399999</v>
      </c>
    </row>
    <row r="53" spans="1:5" x14ac:dyDescent="0.25">
      <c r="A53" s="499" t="s">
        <v>137</v>
      </c>
      <c r="B53" s="499" t="s">
        <v>138</v>
      </c>
      <c r="C53" s="501">
        <v>-3018887830.7199998</v>
      </c>
      <c r="D53" s="501">
        <v>-338140442</v>
      </c>
      <c r="E53" s="501">
        <v>-3357028272.7199998</v>
      </c>
    </row>
    <row r="54" spans="1:5" x14ac:dyDescent="0.25">
      <c r="A54" s="499" t="s">
        <v>139</v>
      </c>
      <c r="B54" s="499" t="s">
        <v>140</v>
      </c>
      <c r="C54" s="501">
        <v>-1582872900.29</v>
      </c>
      <c r="D54" s="501">
        <v>-191008130</v>
      </c>
      <c r="E54" s="501">
        <v>-1773881030.29</v>
      </c>
    </row>
    <row r="55" spans="1:5" x14ac:dyDescent="0.25">
      <c r="A55" s="499" t="s">
        <v>141</v>
      </c>
      <c r="B55" s="499" t="s">
        <v>142</v>
      </c>
      <c r="C55" s="501">
        <v>-100419462.65000001</v>
      </c>
      <c r="D55" s="501">
        <v>-18856277.399999999</v>
      </c>
      <c r="E55" s="501">
        <v>-119275740.05</v>
      </c>
    </row>
    <row r="56" spans="1:5" x14ac:dyDescent="0.25">
      <c r="A56" s="502" t="s">
        <v>143</v>
      </c>
      <c r="B56" s="503"/>
      <c r="C56" s="504">
        <f>SUM(C52:C55)</f>
        <v>-6241506725.749999</v>
      </c>
      <c r="D56" s="504">
        <f>SUM(D52:D55)</f>
        <v>-749333975.14999998</v>
      </c>
      <c r="E56" s="504">
        <f>SUM(E52:E55)</f>
        <v>-6990840700.8999996</v>
      </c>
    </row>
    <row r="58" spans="1:5" x14ac:dyDescent="0.25">
      <c r="A58" s="499" t="s">
        <v>351</v>
      </c>
      <c r="B58" s="499" t="s">
        <v>352</v>
      </c>
      <c r="C58" s="501">
        <v>-49396531.060000002</v>
      </c>
      <c r="D58" s="501">
        <v>1384359.8</v>
      </c>
      <c r="E58" s="501">
        <v>-48012171.259999998</v>
      </c>
    </row>
    <row r="59" spans="1:5" x14ac:dyDescent="0.25">
      <c r="A59" s="499" t="s">
        <v>353</v>
      </c>
      <c r="B59" s="499" t="s">
        <v>354</v>
      </c>
      <c r="C59" s="501">
        <v>-540.66</v>
      </c>
      <c r="D59" s="501">
        <v>0</v>
      </c>
      <c r="E59" s="501">
        <v>-540.66</v>
      </c>
    </row>
    <row r="60" spans="1:5" x14ac:dyDescent="0.25">
      <c r="C60" s="501">
        <f>SUM(C58:C59)</f>
        <v>-49397071.719999999</v>
      </c>
      <c r="D60" s="501">
        <f>SUM(D58:D59)</f>
        <v>1384359.8</v>
      </c>
      <c r="E60" s="501">
        <f>SUM(E58:E59)</f>
        <v>-48012711.919999994</v>
      </c>
    </row>
    <row r="62" spans="1:5" x14ac:dyDescent="0.25">
      <c r="A62" s="502" t="s">
        <v>144</v>
      </c>
      <c r="B62" s="502" t="s">
        <v>39</v>
      </c>
      <c r="C62" s="504">
        <v>0</v>
      </c>
      <c r="D62" s="504">
        <v>0</v>
      </c>
      <c r="E62" s="504">
        <v>0</v>
      </c>
    </row>
    <row r="63" spans="1:5" x14ac:dyDescent="0.25">
      <c r="A63" s="499" t="s">
        <v>145</v>
      </c>
    </row>
    <row r="66" spans="1:5" x14ac:dyDescent="0.25">
      <c r="A66" s="499" t="s">
        <v>146</v>
      </c>
      <c r="B66" s="499" t="s">
        <v>80</v>
      </c>
      <c r="C66" s="501">
        <v>0</v>
      </c>
      <c r="D66" s="501">
        <v>0</v>
      </c>
      <c r="E66" s="501">
        <v>0</v>
      </c>
    </row>
    <row r="67" spans="1:5" x14ac:dyDescent="0.25">
      <c r="A67" s="499" t="s">
        <v>147</v>
      </c>
      <c r="B67" s="499" t="s">
        <v>81</v>
      </c>
      <c r="C67" s="501">
        <v>0</v>
      </c>
      <c r="D67" s="501">
        <v>0</v>
      </c>
      <c r="E67" s="501">
        <v>0</v>
      </c>
    </row>
    <row r="68" spans="1:5" x14ac:dyDescent="0.25">
      <c r="A68" s="499" t="s">
        <v>148</v>
      </c>
      <c r="B68" s="499" t="s">
        <v>82</v>
      </c>
      <c r="C68" s="501">
        <v>0</v>
      </c>
      <c r="D68" s="501">
        <v>0</v>
      </c>
      <c r="E68" s="501">
        <v>0</v>
      </c>
    </row>
    <row r="69" spans="1:5" x14ac:dyDescent="0.25">
      <c r="A69" s="499" t="s">
        <v>149</v>
      </c>
      <c r="B69" s="499" t="s">
        <v>83</v>
      </c>
      <c r="C69" s="501">
        <v>0</v>
      </c>
      <c r="D69" s="501">
        <v>0</v>
      </c>
      <c r="E69" s="501">
        <v>0</v>
      </c>
    </row>
    <row r="70" spans="1:5" x14ac:dyDescent="0.25">
      <c r="A70" s="502" t="s">
        <v>150</v>
      </c>
      <c r="B70" s="503"/>
      <c r="C70" s="504">
        <f>SUM(C66:C69)</f>
        <v>0</v>
      </c>
      <c r="D70" s="504">
        <f>SUM(D66:D69)</f>
        <v>0</v>
      </c>
      <c r="E70" s="504">
        <f>SUM(E66:E69)</f>
        <v>0</v>
      </c>
    </row>
    <row r="72" spans="1:5" x14ac:dyDescent="0.25">
      <c r="A72" s="499" t="s">
        <v>151</v>
      </c>
      <c r="B72" s="499" t="s">
        <v>40</v>
      </c>
      <c r="C72" s="501">
        <v>-53533161.549999997</v>
      </c>
      <c r="D72" s="501">
        <v>-5009384.4400000004</v>
      </c>
      <c r="E72" s="501">
        <v>-58542545.990000002</v>
      </c>
    </row>
    <row r="73" spans="1:5" x14ac:dyDescent="0.25">
      <c r="A73" s="499" t="s">
        <v>152</v>
      </c>
      <c r="B73" s="499" t="s">
        <v>41</v>
      </c>
      <c r="C73" s="501">
        <v>-11769393.76</v>
      </c>
      <c r="D73" s="501">
        <v>-1280112.25</v>
      </c>
      <c r="E73" s="501">
        <v>-13049506.01</v>
      </c>
    </row>
    <row r="74" spans="1:5" x14ac:dyDescent="0.25">
      <c r="A74" s="499" t="s">
        <v>153</v>
      </c>
      <c r="B74" s="499" t="s">
        <v>42</v>
      </c>
      <c r="C74" s="501">
        <v>-4608869.63</v>
      </c>
      <c r="D74" s="501">
        <v>-697666.79</v>
      </c>
      <c r="E74" s="501">
        <v>-5306536.42</v>
      </c>
    </row>
    <row r="75" spans="1:5" x14ac:dyDescent="0.25">
      <c r="A75" s="499" t="s">
        <v>154</v>
      </c>
      <c r="B75" s="499" t="s">
        <v>43</v>
      </c>
      <c r="C75" s="501">
        <v>-10069804.279999999</v>
      </c>
      <c r="D75" s="501">
        <v>-1159066.78</v>
      </c>
      <c r="E75" s="501">
        <v>-11228871.060000001</v>
      </c>
    </row>
    <row r="76" spans="1:5" x14ac:dyDescent="0.25">
      <c r="A76" s="502" t="s">
        <v>155</v>
      </c>
      <c r="B76" s="503"/>
      <c r="C76" s="504">
        <f>SUM(C72:C75)</f>
        <v>-79981229.219999999</v>
      </c>
      <c r="D76" s="504">
        <f>SUM(D72:D75)</f>
        <v>-8146230.2600000007</v>
      </c>
      <c r="E76" s="504">
        <f>SUM(E72:E75)</f>
        <v>-88127459.480000004</v>
      </c>
    </row>
    <row r="78" spans="1:5" x14ac:dyDescent="0.25">
      <c r="A78" s="499" t="s">
        <v>156</v>
      </c>
      <c r="B78" s="499" t="s">
        <v>157</v>
      </c>
      <c r="C78" s="501">
        <v>6871069.8399999999</v>
      </c>
      <c r="D78" s="501">
        <v>1574402.39</v>
      </c>
      <c r="E78" s="501">
        <v>8445472.2300000004</v>
      </c>
    </row>
    <row r="79" spans="1:5" x14ac:dyDescent="0.25">
      <c r="A79" s="499" t="s">
        <v>158</v>
      </c>
      <c r="B79" s="499" t="s">
        <v>159</v>
      </c>
      <c r="C79" s="501">
        <v>7672258.0700000003</v>
      </c>
      <c r="D79" s="501">
        <v>442409.07</v>
      </c>
      <c r="E79" s="501">
        <v>8114667.1399999997</v>
      </c>
    </row>
    <row r="80" spans="1:5" x14ac:dyDescent="0.25">
      <c r="A80" s="499" t="s">
        <v>160</v>
      </c>
      <c r="B80" s="499" t="s">
        <v>161</v>
      </c>
      <c r="C80" s="501">
        <v>273311.13</v>
      </c>
      <c r="D80" s="501">
        <v>36755.160000000003</v>
      </c>
      <c r="E80" s="501">
        <v>310066.28999999998</v>
      </c>
    </row>
    <row r="81" spans="1:5" x14ac:dyDescent="0.25">
      <c r="A81" s="499" t="s">
        <v>162</v>
      </c>
      <c r="B81" s="499" t="s">
        <v>163</v>
      </c>
      <c r="C81" s="501">
        <v>5526180.2699999996</v>
      </c>
      <c r="D81" s="501">
        <v>247171.89</v>
      </c>
      <c r="E81" s="501">
        <v>5773352.1600000001</v>
      </c>
    </row>
    <row r="82" spans="1:5" x14ac:dyDescent="0.25">
      <c r="A82" s="502" t="s">
        <v>164</v>
      </c>
      <c r="B82" s="503"/>
      <c r="C82" s="504">
        <f>SUM(C78:C81)</f>
        <v>20342819.310000002</v>
      </c>
      <c r="D82" s="504">
        <f>SUM(D78:D81)</f>
        <v>2300738.5099999998</v>
      </c>
      <c r="E82" s="504">
        <f>SUM(E78:E81)</f>
        <v>22643557.82</v>
      </c>
    </row>
    <row r="84" spans="1:5" x14ac:dyDescent="0.25">
      <c r="A84" s="502" t="s">
        <v>31</v>
      </c>
      <c r="B84" s="503"/>
      <c r="C84" s="504">
        <f>C14+C20+C26+C32+C44+C56+C62+C70+C76+C82+C50+C38+C60</f>
        <v>722398071.13000011</v>
      </c>
      <c r="D84" s="504">
        <f>D14+D20+D26+D32+D44+D56+D62+D70+D76+D82+D50+D38+D60</f>
        <v>-15959231.250000071</v>
      </c>
      <c r="E84" s="504">
        <f>E14+E20+E26+E32+E44+E56+E62+E70+E76+E82+E50+E38+E60</f>
        <v>706438839.88000011</v>
      </c>
    </row>
  </sheetData>
  <pageMargins left="0.75" right="0.75" top="0.75" bottom="0.75" header="0.5" footer="0.5"/>
  <pageSetup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55"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77" t="s">
        <v>86</v>
      </c>
      <c r="C2" s="578"/>
      <c r="D2" s="578"/>
    </row>
    <row r="3" spans="1:4" x14ac:dyDescent="0.25">
      <c r="B3" s="555" t="s">
        <v>426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427</v>
      </c>
      <c r="C5" s="342"/>
      <c r="D5" s="342"/>
    </row>
    <row r="7" spans="1:4" x14ac:dyDescent="0.25">
      <c r="B7" s="344" t="s">
        <v>30</v>
      </c>
      <c r="C7" s="345" t="s">
        <v>202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197593062.44999999</v>
      </c>
      <c r="D9" s="347">
        <v>197593062.44999999</v>
      </c>
    </row>
    <row r="10" spans="1:4" x14ac:dyDescent="0.25">
      <c r="A10" s="346" t="s">
        <v>94</v>
      </c>
      <c r="B10" s="346" t="s">
        <v>35</v>
      </c>
      <c r="C10" s="343">
        <v>371569328.76999998</v>
      </c>
      <c r="D10" s="343">
        <v>371569328.76999998</v>
      </c>
    </row>
    <row r="11" spans="1:4" x14ac:dyDescent="0.25">
      <c r="A11" s="346" t="s">
        <v>95</v>
      </c>
      <c r="B11" s="346" t="s">
        <v>36</v>
      </c>
      <c r="C11" s="343">
        <v>126456897.3</v>
      </c>
      <c r="D11" s="343">
        <v>126456897.3</v>
      </c>
    </row>
    <row r="12" spans="1:4" x14ac:dyDescent="0.25">
      <c r="A12" s="346" t="s">
        <v>96</v>
      </c>
      <c r="B12" s="346" t="s">
        <v>37</v>
      </c>
      <c r="C12" s="343">
        <v>20038449.09</v>
      </c>
      <c r="D12" s="343">
        <v>20038449.09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715657737.61000001</v>
      </c>
      <c r="D14" s="561">
        <f>SUM(D9:D13)</f>
        <v>715657737.61000001</v>
      </c>
    </row>
    <row r="16" spans="1:4" x14ac:dyDescent="0.25">
      <c r="A16" s="346" t="s">
        <v>99</v>
      </c>
      <c r="B16" s="346" t="s">
        <v>100</v>
      </c>
      <c r="C16" s="343">
        <v>215158.36</v>
      </c>
      <c r="D16" s="343">
        <v>215158.36</v>
      </c>
    </row>
    <row r="17" spans="1:4" x14ac:dyDescent="0.25">
      <c r="A17" s="346" t="s">
        <v>101</v>
      </c>
      <c r="B17" s="346" t="s">
        <v>102</v>
      </c>
      <c r="C17" s="343">
        <v>403691.32</v>
      </c>
      <c r="D17" s="343">
        <v>403691.32</v>
      </c>
    </row>
    <row r="18" spans="1:4" x14ac:dyDescent="0.25">
      <c r="A18" s="346" t="s">
        <v>103</v>
      </c>
      <c r="B18" s="346" t="s">
        <v>104</v>
      </c>
      <c r="C18" s="343">
        <v>216372.53</v>
      </c>
      <c r="D18" s="343">
        <v>216372.53</v>
      </c>
    </row>
    <row r="19" spans="1:4" x14ac:dyDescent="0.25">
      <c r="A19" s="346" t="s">
        <v>105</v>
      </c>
      <c r="B19" s="346" t="s">
        <v>106</v>
      </c>
      <c r="C19" s="343">
        <v>22166.27</v>
      </c>
      <c r="D19" s="343">
        <v>22166.27</v>
      </c>
    </row>
    <row r="20" spans="1:4" x14ac:dyDescent="0.25">
      <c r="A20" s="559" t="s">
        <v>107</v>
      </c>
      <c r="B20" s="560"/>
      <c r="C20" s="561">
        <f>SUM(C16:C19)</f>
        <v>857388.48</v>
      </c>
      <c r="D20" s="561">
        <f>SUM(D16:D19)</f>
        <v>857388.48</v>
      </c>
    </row>
    <row r="22" spans="1:4" x14ac:dyDescent="0.25">
      <c r="A22" s="346" t="s">
        <v>108</v>
      </c>
      <c r="B22" s="346" t="s">
        <v>109</v>
      </c>
      <c r="C22" s="343">
        <v>97404.86</v>
      </c>
      <c r="D22" s="343">
        <v>97404.86</v>
      </c>
    </row>
    <row r="23" spans="1:4" x14ac:dyDescent="0.25">
      <c r="A23" s="346" t="s">
        <v>110</v>
      </c>
      <c r="B23" s="346" t="s">
        <v>111</v>
      </c>
      <c r="C23" s="343">
        <v>183167.71</v>
      </c>
      <c r="D23" s="343">
        <v>183167.71</v>
      </c>
    </row>
    <row r="24" spans="1:4" x14ac:dyDescent="0.25">
      <c r="A24" s="346" t="s">
        <v>112</v>
      </c>
      <c r="B24" s="346" t="s">
        <v>113</v>
      </c>
      <c r="C24" s="343">
        <v>62337.7</v>
      </c>
      <c r="D24" s="343">
        <v>62337.7</v>
      </c>
    </row>
    <row r="25" spans="1:4" x14ac:dyDescent="0.25">
      <c r="A25" s="346" t="s">
        <v>114</v>
      </c>
      <c r="B25" s="346" t="s">
        <v>115</v>
      </c>
      <c r="C25" s="343">
        <v>9878.07</v>
      </c>
      <c r="D25" s="343">
        <v>9878.07</v>
      </c>
    </row>
    <row r="26" spans="1:4" x14ac:dyDescent="0.25">
      <c r="A26" s="559" t="s">
        <v>116</v>
      </c>
      <c r="B26" s="560"/>
      <c r="C26" s="561">
        <f>SUM(C22:C25)</f>
        <v>352788.34</v>
      </c>
      <c r="D26" s="561">
        <f>SUM(D22:D25)</f>
        <v>352788.34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0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0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0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0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159034.56</v>
      </c>
      <c r="D40" s="343">
        <v>159034.56</v>
      </c>
    </row>
    <row r="41" spans="1:4" x14ac:dyDescent="0.25">
      <c r="A41" s="346" t="s">
        <v>128</v>
      </c>
      <c r="B41" s="346" t="s">
        <v>348</v>
      </c>
      <c r="C41" s="343">
        <v>299903.40000000002</v>
      </c>
      <c r="D41" s="343">
        <v>299903.40000000002</v>
      </c>
    </row>
    <row r="42" spans="1:4" x14ac:dyDescent="0.25">
      <c r="A42" s="346" t="s">
        <v>130</v>
      </c>
      <c r="B42" s="346" t="s">
        <v>349</v>
      </c>
      <c r="C42" s="343">
        <v>100014.59</v>
      </c>
      <c r="D42" s="343">
        <v>100014.59</v>
      </c>
    </row>
    <row r="43" spans="1:4" x14ac:dyDescent="0.25">
      <c r="A43" s="346" t="s">
        <v>132</v>
      </c>
      <c r="B43" s="346" t="s">
        <v>350</v>
      </c>
      <c r="C43" s="343">
        <v>15807.09</v>
      </c>
      <c r="D43" s="343">
        <v>15807.09</v>
      </c>
    </row>
    <row r="44" spans="1:4" x14ac:dyDescent="0.25">
      <c r="A44" s="559" t="s">
        <v>134</v>
      </c>
      <c r="B44" s="560"/>
      <c r="C44" s="561">
        <f>SUM(C40:C43)</f>
        <v>574759.64</v>
      </c>
      <c r="D44" s="561">
        <f>SUM(D40:D43)</f>
        <v>574759.64</v>
      </c>
    </row>
    <row r="46" spans="1:4" x14ac:dyDescent="0.25">
      <c r="A46" s="346" t="s">
        <v>326</v>
      </c>
      <c r="B46" s="346" t="s">
        <v>327</v>
      </c>
      <c r="C46" s="343">
        <v>1397610.55</v>
      </c>
      <c r="D46" s="343">
        <v>1397610.55</v>
      </c>
    </row>
    <row r="47" spans="1:4" x14ac:dyDescent="0.25">
      <c r="A47" s="346" t="s">
        <v>328</v>
      </c>
      <c r="B47" s="346" t="s">
        <v>329</v>
      </c>
      <c r="C47" s="343">
        <v>24427519</v>
      </c>
      <c r="D47" s="343">
        <v>24427519</v>
      </c>
    </row>
    <row r="48" spans="1:4" x14ac:dyDescent="0.25">
      <c r="A48" s="346" t="s">
        <v>330</v>
      </c>
      <c r="B48" s="346" t="s">
        <v>331</v>
      </c>
      <c r="C48" s="343">
        <v>31604141</v>
      </c>
      <c r="D48" s="343">
        <v>31604141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57429270.549999997</v>
      </c>
      <c r="D50" s="561">
        <f>SUM(D46:D49)</f>
        <v>57429270.549999997</v>
      </c>
    </row>
    <row r="52" spans="1:4" x14ac:dyDescent="0.25">
      <c r="A52" s="346" t="s">
        <v>135</v>
      </c>
      <c r="B52" s="346" t="s">
        <v>385</v>
      </c>
      <c r="C52" s="343">
        <v>-352222359.75</v>
      </c>
      <c r="D52" s="343">
        <v>-352222359.75</v>
      </c>
    </row>
    <row r="53" spans="1:4" x14ac:dyDescent="0.25">
      <c r="A53" s="346" t="s">
        <v>137</v>
      </c>
      <c r="B53" s="346" t="s">
        <v>386</v>
      </c>
      <c r="C53" s="343">
        <v>-307257683.45999998</v>
      </c>
      <c r="D53" s="343">
        <v>-307257683.45999998</v>
      </c>
    </row>
    <row r="54" spans="1:4" x14ac:dyDescent="0.25">
      <c r="A54" s="346" t="s">
        <v>139</v>
      </c>
      <c r="B54" s="346" t="s">
        <v>387</v>
      </c>
      <c r="C54" s="343">
        <v>-165754249.16999999</v>
      </c>
      <c r="D54" s="343">
        <v>-165754249.16999999</v>
      </c>
    </row>
    <row r="55" spans="1:4" x14ac:dyDescent="0.25">
      <c r="A55" s="346" t="s">
        <v>141</v>
      </c>
      <c r="B55" s="346" t="s">
        <v>388</v>
      </c>
      <c r="C55" s="343">
        <v>-11836200.119999999</v>
      </c>
      <c r="D55" s="343">
        <v>-11836200.119999999</v>
      </c>
    </row>
    <row r="56" spans="1:4" x14ac:dyDescent="0.25">
      <c r="A56" s="559" t="s">
        <v>143</v>
      </c>
      <c r="B56" s="560"/>
      <c r="C56" s="561">
        <f>SUM(C52:C55)</f>
        <v>-837070492.5</v>
      </c>
      <c r="D56" s="561">
        <f>SUM(D52:D55)</f>
        <v>-837070492.5</v>
      </c>
    </row>
    <row r="58" spans="1:4" x14ac:dyDescent="0.25">
      <c r="A58" s="346" t="s">
        <v>351</v>
      </c>
      <c r="B58" s="346" t="s">
        <v>352</v>
      </c>
      <c r="C58" s="343">
        <v>2639801.0699999998</v>
      </c>
      <c r="D58" s="343">
        <v>2639801.0699999998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2639801.0699999998</v>
      </c>
      <c r="D60" s="343">
        <f>SUM(D58:D59)</f>
        <v>2639801.0699999998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-5617933.6299999999</v>
      </c>
      <c r="D72" s="343">
        <v>-5617933.6299999999</v>
      </c>
    </row>
    <row r="73" spans="1:4" x14ac:dyDescent="0.25">
      <c r="A73" s="346" t="s">
        <v>152</v>
      </c>
      <c r="B73" s="346" t="s">
        <v>41</v>
      </c>
      <c r="C73" s="343">
        <v>-1794701.95</v>
      </c>
      <c r="D73" s="343">
        <v>-1794701.95</v>
      </c>
    </row>
    <row r="74" spans="1:4" x14ac:dyDescent="0.25">
      <c r="A74" s="346" t="s">
        <v>153</v>
      </c>
      <c r="B74" s="346" t="s">
        <v>42</v>
      </c>
      <c r="C74" s="343">
        <v>-1031568.27</v>
      </c>
      <c r="D74" s="343">
        <v>-1031568.27</v>
      </c>
    </row>
    <row r="75" spans="1:4" x14ac:dyDescent="0.25">
      <c r="A75" s="346" t="s">
        <v>154</v>
      </c>
      <c r="B75" s="346" t="s">
        <v>43</v>
      </c>
      <c r="C75" s="343">
        <v>-950552.55</v>
      </c>
      <c r="D75" s="343">
        <v>-950552.55</v>
      </c>
    </row>
    <row r="76" spans="1:4" x14ac:dyDescent="0.25">
      <c r="A76" s="559" t="s">
        <v>155</v>
      </c>
      <c r="B76" s="560"/>
      <c r="C76" s="561">
        <f>SUM(C72:C75)</f>
        <v>-9394756.4000000004</v>
      </c>
      <c r="D76" s="561">
        <f>SUM(D72:D75)</f>
        <v>-9394756.4000000004</v>
      </c>
    </row>
    <row r="78" spans="1:4" x14ac:dyDescent="0.25">
      <c r="A78" s="346" t="s">
        <v>156</v>
      </c>
      <c r="B78" s="346" t="s">
        <v>394</v>
      </c>
      <c r="C78" s="343">
        <v>1886405.47</v>
      </c>
      <c r="D78" s="343">
        <v>1886405.47</v>
      </c>
    </row>
    <row r="79" spans="1:4" x14ac:dyDescent="0.25">
      <c r="A79" s="346" t="s">
        <v>158</v>
      </c>
      <c r="B79" s="346" t="s">
        <v>395</v>
      </c>
      <c r="C79" s="343">
        <v>643586.76</v>
      </c>
      <c r="D79" s="343">
        <v>643586.76</v>
      </c>
    </row>
    <row r="80" spans="1:4" x14ac:dyDescent="0.25">
      <c r="A80" s="346" t="s">
        <v>160</v>
      </c>
      <c r="B80" s="346" t="s">
        <v>396</v>
      </c>
      <c r="C80" s="343">
        <v>58471.040000000001</v>
      </c>
      <c r="D80" s="343">
        <v>58471.040000000001</v>
      </c>
    </row>
    <row r="81" spans="1:4" x14ac:dyDescent="0.25">
      <c r="A81" s="346" t="s">
        <v>162</v>
      </c>
      <c r="B81" s="346" t="s">
        <v>397</v>
      </c>
      <c r="C81" s="343">
        <v>133743.21</v>
      </c>
      <c r="D81" s="343">
        <v>133743.21</v>
      </c>
    </row>
    <row r="82" spans="1:4" x14ac:dyDescent="0.25">
      <c r="A82" s="559" t="s">
        <v>164</v>
      </c>
      <c r="B82" s="560"/>
      <c r="C82" s="561">
        <f>SUM(C78:C81)</f>
        <v>2722206.48</v>
      </c>
      <c r="D82" s="561">
        <f>SUM(D78:D81)</f>
        <v>2722206.48</v>
      </c>
    </row>
    <row r="84" spans="1:4" x14ac:dyDescent="0.25">
      <c r="A84" s="559" t="s">
        <v>31</v>
      </c>
      <c r="B84" s="560"/>
      <c r="C84" s="561">
        <f>C14+C20+C26+C32+C44+C56+C62+C70+C76+C82+C50+C38+C60</f>
        <v>-66231296.729999952</v>
      </c>
      <c r="D84" s="561">
        <f>D14+D20+D26+D32+D44+D56+D62+D70+D76+D82+D50+D38+D60</f>
        <v>-66231296.729999952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428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429</v>
      </c>
      <c r="C5" s="342"/>
      <c r="D5" s="342"/>
    </row>
    <row r="7" spans="1:4" x14ac:dyDescent="0.25">
      <c r="B7" s="344" t="s">
        <v>30</v>
      </c>
      <c r="C7" s="345" t="s">
        <v>205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197639154.87</v>
      </c>
      <c r="D9" s="347">
        <v>395232217.31999999</v>
      </c>
    </row>
    <row r="10" spans="1:4" x14ac:dyDescent="0.25">
      <c r="A10" s="346" t="s">
        <v>94</v>
      </c>
      <c r="B10" s="346" t="s">
        <v>35</v>
      </c>
      <c r="C10" s="343">
        <v>371656099.98000002</v>
      </c>
      <c r="D10" s="343">
        <v>743225428.75</v>
      </c>
    </row>
    <row r="11" spans="1:4" x14ac:dyDescent="0.25">
      <c r="A11" s="346" t="s">
        <v>95</v>
      </c>
      <c r="B11" s="346" t="s">
        <v>36</v>
      </c>
      <c r="C11" s="343">
        <v>126486195.81</v>
      </c>
      <c r="D11" s="343">
        <v>252943093.11000001</v>
      </c>
    </row>
    <row r="12" spans="1:4" x14ac:dyDescent="0.25">
      <c r="A12" s="346" t="s">
        <v>96</v>
      </c>
      <c r="B12" s="346" t="s">
        <v>37</v>
      </c>
      <c r="C12" s="343">
        <v>20043087.079999998</v>
      </c>
      <c r="D12" s="343">
        <v>40081536.170000002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715824537.74000013</v>
      </c>
      <c r="D14" s="561">
        <f>SUM(D9:D13)</f>
        <v>1431482275.3499999</v>
      </c>
    </row>
    <row r="16" spans="1:4" x14ac:dyDescent="0.25">
      <c r="A16" s="346" t="s">
        <v>99</v>
      </c>
      <c r="B16" s="346" t="s">
        <v>100</v>
      </c>
      <c r="C16" s="343">
        <v>260994.15</v>
      </c>
      <c r="D16" s="343">
        <v>476152.51</v>
      </c>
    </row>
    <row r="17" spans="1:4" x14ac:dyDescent="0.25">
      <c r="A17" s="346" t="s">
        <v>101</v>
      </c>
      <c r="B17" s="346" t="s">
        <v>102</v>
      </c>
      <c r="C17" s="343">
        <v>490793.89</v>
      </c>
      <c r="D17" s="343">
        <v>894485.21</v>
      </c>
    </row>
    <row r="18" spans="1:4" x14ac:dyDescent="0.25">
      <c r="A18" s="346" t="s">
        <v>103</v>
      </c>
      <c r="B18" s="346" t="s">
        <v>104</v>
      </c>
      <c r="C18" s="343">
        <v>241325.1</v>
      </c>
      <c r="D18" s="343">
        <v>457697.63</v>
      </c>
    </row>
    <row r="19" spans="1:4" x14ac:dyDescent="0.25">
      <c r="A19" s="346" t="s">
        <v>105</v>
      </c>
      <c r="B19" s="346" t="s">
        <v>106</v>
      </c>
      <c r="C19" s="343">
        <v>26468.12</v>
      </c>
      <c r="D19" s="343">
        <v>48634.39</v>
      </c>
    </row>
    <row r="20" spans="1:4" x14ac:dyDescent="0.25">
      <c r="A20" s="559" t="s">
        <v>107</v>
      </c>
      <c r="B20" s="560"/>
      <c r="C20" s="561">
        <f>SUM(C16:C19)</f>
        <v>1019581.26</v>
      </c>
      <c r="D20" s="561">
        <f>SUM(D16:D19)</f>
        <v>1876969.74</v>
      </c>
    </row>
    <row r="22" spans="1:4" x14ac:dyDescent="0.25">
      <c r="A22" s="346" t="s">
        <v>108</v>
      </c>
      <c r="B22" s="346" t="s">
        <v>109</v>
      </c>
      <c r="C22" s="343">
        <v>-41540.42</v>
      </c>
      <c r="D22" s="343">
        <v>55864.44</v>
      </c>
    </row>
    <row r="23" spans="1:4" x14ac:dyDescent="0.25">
      <c r="A23" s="346" t="s">
        <v>110</v>
      </c>
      <c r="B23" s="346" t="s">
        <v>111</v>
      </c>
      <c r="C23" s="343">
        <v>-78115.850000000006</v>
      </c>
      <c r="D23" s="343">
        <v>105051.86</v>
      </c>
    </row>
    <row r="24" spans="1:4" x14ac:dyDescent="0.25">
      <c r="A24" s="346" t="s">
        <v>112</v>
      </c>
      <c r="B24" s="346" t="s">
        <v>113</v>
      </c>
      <c r="C24" s="343">
        <v>-26585.27</v>
      </c>
      <c r="D24" s="343">
        <v>35752.43</v>
      </c>
    </row>
    <row r="25" spans="1:4" x14ac:dyDescent="0.25">
      <c r="A25" s="346" t="s">
        <v>114</v>
      </c>
      <c r="B25" s="346" t="s">
        <v>115</v>
      </c>
      <c r="C25" s="343">
        <v>-4212.7299999999996</v>
      </c>
      <c r="D25" s="343">
        <v>5665.34</v>
      </c>
    </row>
    <row r="26" spans="1:4" x14ac:dyDescent="0.25">
      <c r="A26" s="559" t="s">
        <v>116</v>
      </c>
      <c r="B26" s="560"/>
      <c r="C26" s="561">
        <f>SUM(C22:C25)</f>
        <v>-150454.27000000002</v>
      </c>
      <c r="D26" s="561">
        <f>SUM(D22:D25)</f>
        <v>202334.06999999998</v>
      </c>
    </row>
    <row r="28" spans="1:4" x14ac:dyDescent="0.25">
      <c r="A28" s="346" t="s">
        <v>117</v>
      </c>
      <c r="B28" s="346" t="s">
        <v>118</v>
      </c>
      <c r="C28" s="343">
        <v>276.10000000000002</v>
      </c>
      <c r="D28" s="343">
        <v>276.10000000000002</v>
      </c>
    </row>
    <row r="29" spans="1:4" x14ac:dyDescent="0.25">
      <c r="A29" s="346" t="s">
        <v>119</v>
      </c>
      <c r="B29" s="346" t="s">
        <v>120</v>
      </c>
      <c r="C29" s="343">
        <v>519.20000000000005</v>
      </c>
      <c r="D29" s="343">
        <v>519.20000000000005</v>
      </c>
    </row>
    <row r="30" spans="1:4" x14ac:dyDescent="0.25">
      <c r="A30" s="346" t="s">
        <v>121</v>
      </c>
      <c r="B30" s="346" t="s">
        <v>122</v>
      </c>
      <c r="C30" s="343">
        <v>176.7</v>
      </c>
      <c r="D30" s="343">
        <v>176.7</v>
      </c>
    </row>
    <row r="31" spans="1:4" x14ac:dyDescent="0.25">
      <c r="A31" s="346" t="s">
        <v>123</v>
      </c>
      <c r="B31" s="346" t="s">
        <v>124</v>
      </c>
      <c r="C31" s="343">
        <v>28</v>
      </c>
      <c r="D31" s="343">
        <v>28</v>
      </c>
    </row>
    <row r="32" spans="1:4" x14ac:dyDescent="0.25">
      <c r="A32" s="559" t="s">
        <v>125</v>
      </c>
      <c r="B32" s="560"/>
      <c r="C32" s="561">
        <f>SUM(C28:C31)</f>
        <v>1000</v>
      </c>
      <c r="D32" s="561">
        <f>SUM(D28:D31)</f>
        <v>1000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52344.27</v>
      </c>
      <c r="D40" s="343">
        <v>211378.83</v>
      </c>
    </row>
    <row r="41" spans="1:4" x14ac:dyDescent="0.25">
      <c r="A41" s="346" t="s">
        <v>128</v>
      </c>
      <c r="B41" s="346" t="s">
        <v>348</v>
      </c>
      <c r="C41" s="343">
        <v>98432.25</v>
      </c>
      <c r="D41" s="343">
        <v>398335.65</v>
      </c>
    </row>
    <row r="42" spans="1:4" x14ac:dyDescent="0.25">
      <c r="A42" s="346" t="s">
        <v>130</v>
      </c>
      <c r="B42" s="346" t="s">
        <v>349</v>
      </c>
      <c r="C42" s="343">
        <v>33499.58</v>
      </c>
      <c r="D42" s="343">
        <v>133514.17000000001</v>
      </c>
    </row>
    <row r="43" spans="1:4" x14ac:dyDescent="0.25">
      <c r="A43" s="346" t="s">
        <v>132</v>
      </c>
      <c r="B43" s="346" t="s">
        <v>350</v>
      </c>
      <c r="C43" s="343">
        <v>5308.35</v>
      </c>
      <c r="D43" s="343">
        <v>21115.439999999999</v>
      </c>
    </row>
    <row r="44" spans="1:4" x14ac:dyDescent="0.25">
      <c r="A44" s="559" t="s">
        <v>134</v>
      </c>
      <c r="B44" s="560"/>
      <c r="C44" s="561">
        <f>SUM(C40:C43)</f>
        <v>189584.44999999998</v>
      </c>
      <c r="D44" s="561">
        <f>SUM(D40:D43)</f>
        <v>764344.09</v>
      </c>
    </row>
    <row r="46" spans="1:4" x14ac:dyDescent="0.25">
      <c r="A46" s="346" t="s">
        <v>326</v>
      </c>
      <c r="B46" s="346" t="s">
        <v>327</v>
      </c>
      <c r="C46" s="343">
        <v>-1496191.93</v>
      </c>
      <c r="D46" s="343">
        <v>-98581.38</v>
      </c>
    </row>
    <row r="47" spans="1:4" x14ac:dyDescent="0.25">
      <c r="A47" s="346" t="s">
        <v>328</v>
      </c>
      <c r="B47" s="346" t="s">
        <v>329</v>
      </c>
      <c r="C47" s="343">
        <v>1352134</v>
      </c>
      <c r="D47" s="343">
        <v>25779653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31604141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-144057.92999999993</v>
      </c>
      <c r="D50" s="561">
        <f>SUM(D46:D49)</f>
        <v>57285212.620000005</v>
      </c>
    </row>
    <row r="52" spans="1:4" x14ac:dyDescent="0.25">
      <c r="A52" s="346" t="s">
        <v>135</v>
      </c>
      <c r="B52" s="346" t="s">
        <v>385</v>
      </c>
      <c r="C52" s="343">
        <v>-112012423.65000001</v>
      </c>
      <c r="D52" s="343">
        <v>-464234783.39999998</v>
      </c>
    </row>
    <row r="53" spans="1:4" x14ac:dyDescent="0.25">
      <c r="A53" s="346" t="s">
        <v>137</v>
      </c>
      <c r="B53" s="346" t="s">
        <v>386</v>
      </c>
      <c r="C53" s="343">
        <v>-312108373.81999999</v>
      </c>
      <c r="D53" s="343">
        <v>-619366057.27999997</v>
      </c>
    </row>
    <row r="54" spans="1:4" x14ac:dyDescent="0.25">
      <c r="A54" s="346" t="s">
        <v>139</v>
      </c>
      <c r="B54" s="346" t="s">
        <v>387</v>
      </c>
      <c r="C54" s="343">
        <v>-140312348.74000001</v>
      </c>
      <c r="D54" s="343">
        <v>-306066597.91000003</v>
      </c>
    </row>
    <row r="55" spans="1:4" x14ac:dyDescent="0.25">
      <c r="A55" s="346" t="s">
        <v>141</v>
      </c>
      <c r="B55" s="346" t="s">
        <v>388</v>
      </c>
      <c r="C55" s="343">
        <v>-16146247.609999999</v>
      </c>
      <c r="D55" s="343">
        <v>-27982447.73</v>
      </c>
    </row>
    <row r="56" spans="1:4" x14ac:dyDescent="0.25">
      <c r="A56" s="559" t="s">
        <v>143</v>
      </c>
      <c r="B56" s="560"/>
      <c r="C56" s="561">
        <f>SUM(C52:C55)</f>
        <v>-580579393.82000005</v>
      </c>
      <c r="D56" s="561">
        <f>SUM(D52:D55)</f>
        <v>-1417649886.3199999</v>
      </c>
    </row>
    <row r="58" spans="1:4" x14ac:dyDescent="0.25">
      <c r="A58" s="346" t="s">
        <v>351</v>
      </c>
      <c r="B58" s="346" t="s">
        <v>352</v>
      </c>
      <c r="C58" s="343">
        <v>75075.360000000001</v>
      </c>
      <c r="D58" s="343">
        <v>2714876.43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75075.360000000001</v>
      </c>
      <c r="D60" s="343">
        <f>SUM(D58:D59)</f>
        <v>2714876.43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-5330072.17</v>
      </c>
      <c r="D72" s="343">
        <v>-10948005.800000001</v>
      </c>
    </row>
    <row r="73" spans="1:4" x14ac:dyDescent="0.25">
      <c r="A73" s="346" t="s">
        <v>152</v>
      </c>
      <c r="B73" s="346" t="s">
        <v>41</v>
      </c>
      <c r="C73" s="343">
        <v>-1729150.01</v>
      </c>
      <c r="D73" s="343">
        <v>-3523851.96</v>
      </c>
    </row>
    <row r="74" spans="1:4" x14ac:dyDescent="0.25">
      <c r="A74" s="346" t="s">
        <v>153</v>
      </c>
      <c r="B74" s="346" t="s">
        <v>42</v>
      </c>
      <c r="C74" s="343">
        <v>-1145668.27</v>
      </c>
      <c r="D74" s="343">
        <v>-2177236.54</v>
      </c>
    </row>
    <row r="75" spans="1:4" x14ac:dyDescent="0.25">
      <c r="A75" s="346" t="s">
        <v>154</v>
      </c>
      <c r="B75" s="346" t="s">
        <v>43</v>
      </c>
      <c r="C75" s="343">
        <v>-797015.94</v>
      </c>
      <c r="D75" s="343">
        <v>-1747568.49</v>
      </c>
    </row>
    <row r="76" spans="1:4" x14ac:dyDescent="0.25">
      <c r="A76" s="559" t="s">
        <v>155</v>
      </c>
      <c r="B76" s="560"/>
      <c r="C76" s="561">
        <f>SUM(C72:C75)</f>
        <v>-9001906.3899999987</v>
      </c>
      <c r="D76" s="561">
        <f>SUM(D72:D75)</f>
        <v>-18396662.789999999</v>
      </c>
    </row>
    <row r="78" spans="1:4" x14ac:dyDescent="0.25">
      <c r="A78" s="346" t="s">
        <v>156</v>
      </c>
      <c r="B78" s="346" t="s">
        <v>394</v>
      </c>
      <c r="C78" s="343">
        <v>1850166.94</v>
      </c>
      <c r="D78" s="343">
        <v>3736572.41</v>
      </c>
    </row>
    <row r="79" spans="1:4" x14ac:dyDescent="0.25">
      <c r="A79" s="346" t="s">
        <v>158</v>
      </c>
      <c r="B79" s="346" t="s">
        <v>395</v>
      </c>
      <c r="C79" s="343">
        <v>631269.69999999995</v>
      </c>
      <c r="D79" s="343">
        <v>1274856.46</v>
      </c>
    </row>
    <row r="80" spans="1:4" x14ac:dyDescent="0.25">
      <c r="A80" s="346" t="s">
        <v>160</v>
      </c>
      <c r="B80" s="346" t="s">
        <v>396</v>
      </c>
      <c r="C80" s="343">
        <v>57333.81</v>
      </c>
      <c r="D80" s="343">
        <v>115804.85</v>
      </c>
    </row>
    <row r="81" spans="1:4" x14ac:dyDescent="0.25">
      <c r="A81" s="346" t="s">
        <v>162</v>
      </c>
      <c r="B81" s="346" t="s">
        <v>397</v>
      </c>
      <c r="C81" s="343">
        <v>131176.73000000001</v>
      </c>
      <c r="D81" s="343">
        <v>264919.94</v>
      </c>
    </row>
    <row r="82" spans="1:4" x14ac:dyDescent="0.25">
      <c r="A82" s="559" t="s">
        <v>164</v>
      </c>
      <c r="B82" s="560"/>
      <c r="C82" s="561">
        <f>SUM(C78:C81)</f>
        <v>2669947.1799999997</v>
      </c>
      <c r="D82" s="561">
        <f>SUM(D78:D81)</f>
        <v>5392153.6600000001</v>
      </c>
    </row>
    <row r="84" spans="1:4" x14ac:dyDescent="0.25">
      <c r="A84" s="559" t="s">
        <v>31</v>
      </c>
      <c r="B84" s="560"/>
      <c r="C84" s="561">
        <f>C14+C20+C26+C32+C44+C56+C62+C70+C76+C82+C50+C38+C60</f>
        <v>129903913.58000012</v>
      </c>
      <c r="D84" s="561">
        <f>D14+D20+D26+D32+D44+D56+D62+D70+D76+D82+D50+D38+D60</f>
        <v>63672616.849999838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8" workbookViewId="0">
      <selection activeCell="C81" sqref="C81"/>
    </sheetView>
  </sheetViews>
  <sheetFormatPr defaultRowHeight="13.2" x14ac:dyDescent="0.25"/>
  <cols>
    <col min="1" max="1" width="30.6640625" customWidth="1"/>
    <col min="2" max="2" width="33.6640625" customWidth="1"/>
    <col min="3" max="4" width="22.6640625" style="343" customWidth="1"/>
  </cols>
  <sheetData>
    <row r="1" spans="1:4" x14ac:dyDescent="0.25">
      <c r="B1" s="555" t="s">
        <v>53</v>
      </c>
      <c r="C1" s="556"/>
      <c r="D1" s="556"/>
    </row>
    <row r="2" spans="1:4" x14ac:dyDescent="0.25">
      <c r="B2" s="564" t="s">
        <v>86</v>
      </c>
      <c r="C2" s="565"/>
      <c r="D2" s="565"/>
    </row>
    <row r="3" spans="1:4" x14ac:dyDescent="0.25">
      <c r="B3" s="555" t="s">
        <v>430</v>
      </c>
      <c r="C3" s="556"/>
      <c r="D3" s="556"/>
    </row>
    <row r="4" spans="1:4" x14ac:dyDescent="0.25">
      <c r="B4" s="555" t="s">
        <v>376</v>
      </c>
      <c r="C4" s="556"/>
      <c r="D4" s="556"/>
    </row>
    <row r="5" spans="1:4" x14ac:dyDescent="0.25">
      <c r="B5" s="341" t="s">
        <v>431</v>
      </c>
      <c r="C5" s="342"/>
      <c r="D5" s="342"/>
    </row>
    <row r="7" spans="1:4" x14ac:dyDescent="0.25">
      <c r="B7" s="344" t="s">
        <v>30</v>
      </c>
      <c r="C7" s="345" t="s">
        <v>91</v>
      </c>
      <c r="D7" s="345" t="s">
        <v>92</v>
      </c>
    </row>
    <row r="9" spans="1:4" x14ac:dyDescent="0.25">
      <c r="A9" s="346" t="s">
        <v>93</v>
      </c>
      <c r="B9" s="346" t="s">
        <v>34</v>
      </c>
      <c r="C9" s="347">
        <v>198028899.81</v>
      </c>
      <c r="D9" s="347">
        <v>593261117.13</v>
      </c>
    </row>
    <row r="10" spans="1:4" x14ac:dyDescent="0.25">
      <c r="A10" s="346" t="s">
        <v>94</v>
      </c>
      <c r="B10" s="346" t="s">
        <v>35</v>
      </c>
      <c r="C10" s="343">
        <v>372389006.80000001</v>
      </c>
      <c r="D10" s="343">
        <v>1115614435.55</v>
      </c>
    </row>
    <row r="11" spans="1:4" x14ac:dyDescent="0.25">
      <c r="A11" s="346" t="s">
        <v>95</v>
      </c>
      <c r="B11" s="346" t="s">
        <v>36</v>
      </c>
      <c r="C11" s="343">
        <v>126735626.95</v>
      </c>
      <c r="D11" s="343">
        <v>379678720.06</v>
      </c>
    </row>
    <row r="12" spans="1:4" x14ac:dyDescent="0.25">
      <c r="A12" s="346" t="s">
        <v>96</v>
      </c>
      <c r="B12" s="346" t="s">
        <v>37</v>
      </c>
      <c r="C12" s="343">
        <v>20082612.07</v>
      </c>
      <c r="D12" s="343">
        <v>60164148.240000002</v>
      </c>
    </row>
    <row r="13" spans="1:4" x14ac:dyDescent="0.25">
      <c r="A13" s="346" t="s">
        <v>97</v>
      </c>
      <c r="B13" s="346" t="s">
        <v>38</v>
      </c>
      <c r="C13" s="343">
        <v>0</v>
      </c>
      <c r="D13" s="343">
        <v>0</v>
      </c>
    </row>
    <row r="14" spans="1:4" x14ac:dyDescent="0.25">
      <c r="A14" s="559" t="s">
        <v>98</v>
      </c>
      <c r="B14" s="560"/>
      <c r="C14" s="561">
        <f>SUM(C9:C13)</f>
        <v>717236145.63000011</v>
      </c>
      <c r="D14" s="561">
        <f>SUM(D9:D13)</f>
        <v>2148718420.9799995</v>
      </c>
    </row>
    <row r="16" spans="1:4" x14ac:dyDescent="0.25">
      <c r="A16" s="346" t="s">
        <v>99</v>
      </c>
      <c r="B16" s="346" t="s">
        <v>100</v>
      </c>
      <c r="C16" s="343">
        <v>136570.65</v>
      </c>
      <c r="D16" s="343">
        <v>612723.16</v>
      </c>
    </row>
    <row r="17" spans="1:4" x14ac:dyDescent="0.25">
      <c r="A17" s="346" t="s">
        <v>101</v>
      </c>
      <c r="B17" s="346" t="s">
        <v>102</v>
      </c>
      <c r="C17" s="343">
        <v>256817.98</v>
      </c>
      <c r="D17" s="343">
        <v>1151303.19</v>
      </c>
    </row>
    <row r="18" spans="1:4" x14ac:dyDescent="0.25">
      <c r="A18" s="346" t="s">
        <v>103</v>
      </c>
      <c r="B18" s="346" t="s">
        <v>104</v>
      </c>
      <c r="C18" s="343">
        <v>164172.19</v>
      </c>
      <c r="D18" s="343">
        <v>621869.81999999995</v>
      </c>
    </row>
    <row r="19" spans="1:4" x14ac:dyDescent="0.25">
      <c r="A19" s="346" t="s">
        <v>105</v>
      </c>
      <c r="B19" s="346" t="s">
        <v>106</v>
      </c>
      <c r="C19" s="343">
        <v>13849.94</v>
      </c>
      <c r="D19" s="343">
        <v>62484.33</v>
      </c>
    </row>
    <row r="20" spans="1:4" x14ac:dyDescent="0.25">
      <c r="A20" s="559" t="s">
        <v>107</v>
      </c>
      <c r="B20" s="560"/>
      <c r="C20" s="561">
        <f>SUM(C16:C19)</f>
        <v>571410.76</v>
      </c>
      <c r="D20" s="561">
        <f>SUM(D16:D19)</f>
        <v>2448380.5</v>
      </c>
    </row>
    <row r="22" spans="1:4" x14ac:dyDescent="0.25">
      <c r="A22" s="346" t="s">
        <v>108</v>
      </c>
      <c r="B22" s="346" t="s">
        <v>109</v>
      </c>
      <c r="C22" s="343">
        <v>85109.51</v>
      </c>
      <c r="D22" s="343">
        <v>140973.95000000001</v>
      </c>
    </row>
    <row r="23" spans="1:4" x14ac:dyDescent="0.25">
      <c r="A23" s="346" t="s">
        <v>110</v>
      </c>
      <c r="B23" s="346" t="s">
        <v>111</v>
      </c>
      <c r="C23" s="343">
        <v>160046.56</v>
      </c>
      <c r="D23" s="343">
        <v>265098.42</v>
      </c>
    </row>
    <row r="24" spans="1:4" x14ac:dyDescent="0.25">
      <c r="A24" s="346" t="s">
        <v>112</v>
      </c>
      <c r="B24" s="346" t="s">
        <v>113</v>
      </c>
      <c r="C24" s="343">
        <v>54468.86</v>
      </c>
      <c r="D24" s="343">
        <v>90221.29</v>
      </c>
    </row>
    <row r="25" spans="1:4" x14ac:dyDescent="0.25">
      <c r="A25" s="346" t="s">
        <v>114</v>
      </c>
      <c r="B25" s="346" t="s">
        <v>115</v>
      </c>
      <c r="C25" s="343">
        <v>8631.15</v>
      </c>
      <c r="D25" s="343">
        <v>14296.49</v>
      </c>
    </row>
    <row r="26" spans="1:4" x14ac:dyDescent="0.25">
      <c r="A26" s="559" t="s">
        <v>116</v>
      </c>
      <c r="B26" s="560"/>
      <c r="C26" s="561">
        <f>SUM(C22:C25)</f>
        <v>308256.08</v>
      </c>
      <c r="D26" s="561">
        <f>SUM(D22:D25)</f>
        <v>510590.14999999997</v>
      </c>
    </row>
    <row r="28" spans="1:4" x14ac:dyDescent="0.25">
      <c r="A28" s="346" t="s">
        <v>117</v>
      </c>
      <c r="B28" s="346" t="s">
        <v>118</v>
      </c>
      <c r="C28" s="343">
        <v>0</v>
      </c>
      <c r="D28" s="343">
        <v>276.10000000000002</v>
      </c>
    </row>
    <row r="29" spans="1:4" x14ac:dyDescent="0.25">
      <c r="A29" s="346" t="s">
        <v>119</v>
      </c>
      <c r="B29" s="346" t="s">
        <v>120</v>
      </c>
      <c r="C29" s="343">
        <v>0</v>
      </c>
      <c r="D29" s="343">
        <v>519.20000000000005</v>
      </c>
    </row>
    <row r="30" spans="1:4" x14ac:dyDescent="0.25">
      <c r="A30" s="346" t="s">
        <v>121</v>
      </c>
      <c r="B30" s="346" t="s">
        <v>122</v>
      </c>
      <c r="C30" s="343">
        <v>0</v>
      </c>
      <c r="D30" s="343">
        <v>176.7</v>
      </c>
    </row>
    <row r="31" spans="1:4" x14ac:dyDescent="0.25">
      <c r="A31" s="346" t="s">
        <v>123</v>
      </c>
      <c r="B31" s="346" t="s">
        <v>124</v>
      </c>
      <c r="C31" s="343">
        <v>0</v>
      </c>
      <c r="D31" s="343">
        <v>28</v>
      </c>
    </row>
    <row r="32" spans="1:4" x14ac:dyDescent="0.25">
      <c r="A32" s="559" t="s">
        <v>125</v>
      </c>
      <c r="B32" s="560"/>
      <c r="C32" s="561">
        <f>SUM(C28:C31)</f>
        <v>0</v>
      </c>
      <c r="D32" s="561">
        <f>SUM(D28:D31)</f>
        <v>1000</v>
      </c>
    </row>
    <row r="34" spans="1:4" x14ac:dyDescent="0.25">
      <c r="A34" s="346" t="s">
        <v>317</v>
      </c>
      <c r="B34" s="346" t="s">
        <v>318</v>
      </c>
      <c r="C34" s="343">
        <v>0</v>
      </c>
      <c r="D34" s="343">
        <v>0</v>
      </c>
    </row>
    <row r="35" spans="1:4" x14ac:dyDescent="0.25">
      <c r="A35" s="346" t="s">
        <v>319</v>
      </c>
      <c r="B35" s="346" t="s">
        <v>320</v>
      </c>
      <c r="C35" s="343">
        <v>0</v>
      </c>
      <c r="D35" s="343">
        <v>0</v>
      </c>
    </row>
    <row r="36" spans="1:4" x14ac:dyDescent="0.25">
      <c r="A36" s="346" t="s">
        <v>321</v>
      </c>
      <c r="B36" s="346" t="s">
        <v>322</v>
      </c>
      <c r="C36" s="343">
        <v>0</v>
      </c>
      <c r="D36" s="343">
        <v>0</v>
      </c>
    </row>
    <row r="37" spans="1:4" x14ac:dyDescent="0.25">
      <c r="A37" s="346" t="s">
        <v>323</v>
      </c>
      <c r="B37" s="346" t="s">
        <v>324</v>
      </c>
      <c r="C37" s="343">
        <v>0</v>
      </c>
      <c r="D37" s="343">
        <v>0</v>
      </c>
    </row>
    <row r="38" spans="1:4" x14ac:dyDescent="0.25">
      <c r="A38" s="559" t="s">
        <v>325</v>
      </c>
      <c r="B38" s="560"/>
      <c r="C38" s="561">
        <f>SUM(C34:C37)</f>
        <v>0</v>
      </c>
      <c r="D38" s="561">
        <f>SUM(D34:D37)</f>
        <v>0</v>
      </c>
    </row>
    <row r="40" spans="1:4" x14ac:dyDescent="0.25">
      <c r="A40" s="346" t="s">
        <v>126</v>
      </c>
      <c r="B40" s="346" t="s">
        <v>347</v>
      </c>
      <c r="C40" s="343">
        <v>-1722495.36</v>
      </c>
      <c r="D40" s="343">
        <v>-1511116.53</v>
      </c>
    </row>
    <row r="41" spans="1:4" x14ac:dyDescent="0.25">
      <c r="A41" s="346" t="s">
        <v>128</v>
      </c>
      <c r="B41" s="346" t="s">
        <v>348</v>
      </c>
      <c r="C41" s="343">
        <v>-2870500.9</v>
      </c>
      <c r="D41" s="343">
        <v>-2472165.25</v>
      </c>
    </row>
    <row r="42" spans="1:4" x14ac:dyDescent="0.25">
      <c r="A42" s="346" t="s">
        <v>130</v>
      </c>
      <c r="B42" s="346" t="s">
        <v>349</v>
      </c>
      <c r="C42" s="343">
        <v>-1330202.76</v>
      </c>
      <c r="D42" s="343">
        <v>-1196688.5900000001</v>
      </c>
    </row>
    <row r="43" spans="1:4" x14ac:dyDescent="0.25">
      <c r="A43" s="346" t="s">
        <v>132</v>
      </c>
      <c r="B43" s="346" t="s">
        <v>350</v>
      </c>
      <c r="C43" s="343">
        <v>-174682.61</v>
      </c>
      <c r="D43" s="343">
        <v>-153567.17000000001</v>
      </c>
    </row>
    <row r="44" spans="1:4" x14ac:dyDescent="0.25">
      <c r="A44" s="559" t="s">
        <v>134</v>
      </c>
      <c r="B44" s="560"/>
      <c r="C44" s="561">
        <f>SUM(C40:C43)</f>
        <v>-6097881.6299999999</v>
      </c>
      <c r="D44" s="561">
        <f>SUM(D40:D43)</f>
        <v>-5333537.54</v>
      </c>
    </row>
    <row r="46" spans="1:4" x14ac:dyDescent="0.25">
      <c r="A46" s="346" t="s">
        <v>326</v>
      </c>
      <c r="B46" s="346" t="s">
        <v>327</v>
      </c>
      <c r="C46" s="343">
        <v>-579919.9</v>
      </c>
      <c r="D46" s="343">
        <v>-678501.28</v>
      </c>
    </row>
    <row r="47" spans="1:4" x14ac:dyDescent="0.25">
      <c r="A47" s="346" t="s">
        <v>328</v>
      </c>
      <c r="B47" s="346" t="s">
        <v>329</v>
      </c>
      <c r="C47" s="343">
        <v>927582</v>
      </c>
      <c r="D47" s="343">
        <v>26707235</v>
      </c>
    </row>
    <row r="48" spans="1:4" x14ac:dyDescent="0.25">
      <c r="A48" s="346" t="s">
        <v>330</v>
      </c>
      <c r="B48" s="346" t="s">
        <v>331</v>
      </c>
      <c r="C48" s="343">
        <v>0</v>
      </c>
      <c r="D48" s="343">
        <v>31604141</v>
      </c>
    </row>
    <row r="49" spans="1:4" x14ac:dyDescent="0.25">
      <c r="A49" s="346" t="s">
        <v>332</v>
      </c>
      <c r="B49" s="346" t="s">
        <v>333</v>
      </c>
      <c r="C49" s="343">
        <v>0</v>
      </c>
      <c r="D49" s="343">
        <v>0</v>
      </c>
    </row>
    <row r="50" spans="1:4" x14ac:dyDescent="0.25">
      <c r="A50" s="559" t="s">
        <v>334</v>
      </c>
      <c r="B50" s="560"/>
      <c r="C50" s="561">
        <f>SUM(C46:C49)</f>
        <v>347662.1</v>
      </c>
      <c r="D50" s="561">
        <f>SUM(D46:D49)</f>
        <v>57632874.719999999</v>
      </c>
    </row>
    <row r="52" spans="1:4" x14ac:dyDescent="0.25">
      <c r="A52" s="346" t="s">
        <v>135</v>
      </c>
      <c r="B52" s="346" t="s">
        <v>385</v>
      </c>
      <c r="C52" s="343">
        <v>-146870340</v>
      </c>
      <c r="D52" s="343">
        <v>-611105123.39999998</v>
      </c>
    </row>
    <row r="53" spans="1:4" x14ac:dyDescent="0.25">
      <c r="A53" s="346" t="s">
        <v>137</v>
      </c>
      <c r="B53" s="346" t="s">
        <v>386</v>
      </c>
      <c r="C53" s="343">
        <v>-306860432</v>
      </c>
      <c r="D53" s="343">
        <v>-926226489.27999997</v>
      </c>
    </row>
    <row r="54" spans="1:4" x14ac:dyDescent="0.25">
      <c r="A54" s="346" t="s">
        <v>139</v>
      </c>
      <c r="B54" s="346" t="s">
        <v>387</v>
      </c>
      <c r="C54" s="343">
        <v>-130224862</v>
      </c>
      <c r="D54" s="343">
        <v>-436291459.91000003</v>
      </c>
    </row>
    <row r="55" spans="1:4" x14ac:dyDescent="0.25">
      <c r="A55" s="346" t="s">
        <v>141</v>
      </c>
      <c r="B55" s="346" t="s">
        <v>388</v>
      </c>
      <c r="C55" s="343">
        <v>-16272378.539999999</v>
      </c>
      <c r="D55" s="343">
        <v>-44254826.270000003</v>
      </c>
    </row>
    <row r="56" spans="1:4" x14ac:dyDescent="0.25">
      <c r="A56" s="559" t="s">
        <v>143</v>
      </c>
      <c r="B56" s="560"/>
      <c r="C56" s="561">
        <f>SUM(C52:C55)</f>
        <v>-600228012.53999996</v>
      </c>
      <c r="D56" s="561">
        <f>SUM(D52:D55)</f>
        <v>-2017877898.8599999</v>
      </c>
    </row>
    <row r="58" spans="1:4" x14ac:dyDescent="0.25">
      <c r="A58" s="346" t="s">
        <v>351</v>
      </c>
      <c r="B58" s="346" t="s">
        <v>352</v>
      </c>
      <c r="C58" s="343">
        <v>-5971777.4400000004</v>
      </c>
      <c r="D58" s="343">
        <v>-3256901.01</v>
      </c>
    </row>
    <row r="59" spans="1:4" x14ac:dyDescent="0.25">
      <c r="A59" s="346" t="s">
        <v>353</v>
      </c>
      <c r="B59" s="346" t="s">
        <v>354</v>
      </c>
      <c r="C59" s="343">
        <v>0</v>
      </c>
      <c r="D59" s="343">
        <v>0</v>
      </c>
    </row>
    <row r="60" spans="1:4" x14ac:dyDescent="0.25">
      <c r="C60" s="343">
        <f>SUM(C58:C59)</f>
        <v>-5971777.4400000004</v>
      </c>
      <c r="D60" s="343">
        <f>SUM(D58:D59)</f>
        <v>-3256901.01</v>
      </c>
    </row>
    <row r="62" spans="1:4" x14ac:dyDescent="0.25">
      <c r="A62" s="559" t="s">
        <v>144</v>
      </c>
      <c r="B62" s="559" t="s">
        <v>39</v>
      </c>
      <c r="C62" s="561">
        <v>0</v>
      </c>
      <c r="D62" s="561">
        <v>0</v>
      </c>
    </row>
    <row r="63" spans="1:4" x14ac:dyDescent="0.25">
      <c r="A63" s="346" t="s">
        <v>145</v>
      </c>
    </row>
    <row r="66" spans="1:4" x14ac:dyDescent="0.25">
      <c r="A66" s="346" t="s">
        <v>146</v>
      </c>
      <c r="B66" s="346" t="s">
        <v>80</v>
      </c>
      <c r="C66" s="343">
        <v>0</v>
      </c>
      <c r="D66" s="343">
        <v>0</v>
      </c>
    </row>
    <row r="67" spans="1:4" x14ac:dyDescent="0.25">
      <c r="A67" s="346" t="s">
        <v>147</v>
      </c>
      <c r="B67" s="346" t="s">
        <v>81</v>
      </c>
      <c r="C67" s="343">
        <v>0</v>
      </c>
      <c r="D67" s="343">
        <v>0</v>
      </c>
    </row>
    <row r="68" spans="1:4" x14ac:dyDescent="0.25">
      <c r="A68" s="346" t="s">
        <v>148</v>
      </c>
      <c r="B68" s="346" t="s">
        <v>82</v>
      </c>
      <c r="C68" s="343">
        <v>0</v>
      </c>
      <c r="D68" s="343">
        <v>0</v>
      </c>
    </row>
    <row r="69" spans="1:4" x14ac:dyDescent="0.25">
      <c r="A69" s="346" t="s">
        <v>149</v>
      </c>
      <c r="B69" s="346" t="s">
        <v>83</v>
      </c>
      <c r="C69" s="343">
        <v>0</v>
      </c>
      <c r="D69" s="343">
        <v>0</v>
      </c>
    </row>
    <row r="70" spans="1:4" x14ac:dyDescent="0.25">
      <c r="A70" s="559" t="s">
        <v>150</v>
      </c>
      <c r="B70" s="560"/>
      <c r="C70" s="561">
        <f>SUM(C66:C69)</f>
        <v>0</v>
      </c>
      <c r="D70" s="561">
        <f>SUM(D66:D69)</f>
        <v>0</v>
      </c>
    </row>
    <row r="72" spans="1:4" x14ac:dyDescent="0.25">
      <c r="A72" s="346" t="s">
        <v>151</v>
      </c>
      <c r="B72" s="346" t="s">
        <v>40</v>
      </c>
      <c r="C72" s="343">
        <v>-5314992.04</v>
      </c>
      <c r="D72" s="343">
        <v>-16262997.84</v>
      </c>
    </row>
    <row r="73" spans="1:4" x14ac:dyDescent="0.25">
      <c r="A73" s="346" t="s">
        <v>152</v>
      </c>
      <c r="B73" s="346" t="s">
        <v>41</v>
      </c>
      <c r="C73" s="343">
        <v>-1571217.29</v>
      </c>
      <c r="D73" s="343">
        <v>-5095069.25</v>
      </c>
    </row>
    <row r="74" spans="1:4" x14ac:dyDescent="0.25">
      <c r="A74" s="346" t="s">
        <v>153</v>
      </c>
      <c r="B74" s="346" t="s">
        <v>42</v>
      </c>
      <c r="C74" s="343">
        <v>-1154184.1299999999</v>
      </c>
      <c r="D74" s="343">
        <v>-3331420.67</v>
      </c>
    </row>
    <row r="75" spans="1:4" x14ac:dyDescent="0.25">
      <c r="A75" s="346" t="s">
        <v>154</v>
      </c>
      <c r="B75" s="346" t="s">
        <v>43</v>
      </c>
      <c r="C75" s="343">
        <v>-832281.26</v>
      </c>
      <c r="D75" s="343">
        <v>-2579849.75</v>
      </c>
    </row>
    <row r="76" spans="1:4" x14ac:dyDescent="0.25">
      <c r="A76" s="559" t="s">
        <v>155</v>
      </c>
      <c r="B76" s="560"/>
      <c r="C76" s="561">
        <f>SUM(C72:C75)</f>
        <v>-8872674.7200000007</v>
      </c>
      <c r="D76" s="561">
        <f>SUM(D72:D75)</f>
        <v>-27269337.509999998</v>
      </c>
    </row>
    <row r="78" spans="1:4" x14ac:dyDescent="0.25">
      <c r="A78" s="346" t="s">
        <v>156</v>
      </c>
      <c r="B78" s="346" t="s">
        <v>394</v>
      </c>
      <c r="C78" s="343">
        <v>2258105.96</v>
      </c>
      <c r="D78" s="343">
        <v>5994678.3700000001</v>
      </c>
    </row>
    <row r="79" spans="1:4" x14ac:dyDescent="0.25">
      <c r="A79" s="346" t="s">
        <v>158</v>
      </c>
      <c r="B79" s="346" t="s">
        <v>395</v>
      </c>
      <c r="C79" s="343">
        <v>770895.74</v>
      </c>
      <c r="D79" s="343">
        <v>2045752.2</v>
      </c>
    </row>
    <row r="80" spans="1:4" x14ac:dyDescent="0.25">
      <c r="A80" s="346" t="s">
        <v>160</v>
      </c>
      <c r="B80" s="346" t="s">
        <v>396</v>
      </c>
      <c r="C80" s="343">
        <v>69843.14</v>
      </c>
      <c r="D80" s="343">
        <v>185647.99</v>
      </c>
    </row>
    <row r="81" spans="1:4" x14ac:dyDescent="0.25">
      <c r="A81" s="346" t="s">
        <v>162</v>
      </c>
      <c r="B81" s="346" t="s">
        <v>397</v>
      </c>
      <c r="C81" s="343">
        <v>160125.74</v>
      </c>
      <c r="D81" s="343">
        <v>425045.68</v>
      </c>
    </row>
    <row r="82" spans="1:4" x14ac:dyDescent="0.25">
      <c r="A82" s="559" t="s">
        <v>164</v>
      </c>
      <c r="B82" s="560"/>
      <c r="C82" s="561">
        <f>SUM(C78:C81)</f>
        <v>3258970.58</v>
      </c>
      <c r="D82" s="561">
        <f>SUM(D78:D81)</f>
        <v>8651124.2400000002</v>
      </c>
    </row>
    <row r="84" spans="1:4" x14ac:dyDescent="0.25">
      <c r="A84" s="559" t="s">
        <v>31</v>
      </c>
      <c r="B84" s="560"/>
      <c r="C84" s="561">
        <f>C14+C20+C26+C32+C44+C56+C62+C70+C76+C82+C50+C38+C60</f>
        <v>100552098.82000019</v>
      </c>
      <c r="D84" s="561">
        <f>D14+D20+D26+D32+D44+D56+D62+D70+D76+D82+D50+D38+D60</f>
        <v>164224715.66999978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workbookViewId="0">
      <pane ySplit="8" topLeftCell="A37" activePane="bottomLeft" state="frozenSplit"/>
      <selection pane="bottomLeft" activeCell="D47" sqref="D47"/>
    </sheetView>
  </sheetViews>
  <sheetFormatPr defaultColWidth="9.109375" defaultRowHeight="13.2" x14ac:dyDescent="0.25"/>
  <cols>
    <col min="1" max="1" width="30.6640625" style="475" customWidth="1"/>
    <col min="2" max="2" width="33.6640625" style="475" customWidth="1"/>
    <col min="3" max="5" width="22.6640625" style="486" customWidth="1"/>
    <col min="6" max="16384" width="9.109375" style="475"/>
  </cols>
  <sheetData>
    <row r="1" spans="1:5" x14ac:dyDescent="0.25">
      <c r="C1" s="476" t="s">
        <v>53</v>
      </c>
      <c r="D1" s="477"/>
      <c r="E1" s="477"/>
    </row>
    <row r="2" spans="1:5" x14ac:dyDescent="0.25">
      <c r="C2" s="478" t="s">
        <v>86</v>
      </c>
      <c r="D2" s="479"/>
      <c r="E2" s="479"/>
    </row>
    <row r="3" spans="1:5" x14ac:dyDescent="0.25">
      <c r="C3" s="476" t="s">
        <v>363</v>
      </c>
      <c r="D3" s="477"/>
      <c r="E3" s="477"/>
    </row>
    <row r="4" spans="1:5" x14ac:dyDescent="0.25">
      <c r="C4" s="476" t="s">
        <v>88</v>
      </c>
      <c r="D4" s="477"/>
      <c r="E4" s="477"/>
    </row>
    <row r="5" spans="1:5" x14ac:dyDescent="0.25">
      <c r="C5" s="480" t="s">
        <v>364</v>
      </c>
      <c r="D5" s="481"/>
      <c r="E5" s="481"/>
    </row>
    <row r="7" spans="1:5" x14ac:dyDescent="0.25">
      <c r="B7" s="482" t="s">
        <v>30</v>
      </c>
      <c r="C7" s="483" t="s">
        <v>90</v>
      </c>
      <c r="D7" s="483" t="s">
        <v>188</v>
      </c>
      <c r="E7" s="483" t="s">
        <v>92</v>
      </c>
    </row>
    <row r="9" spans="1:5" x14ac:dyDescent="0.25">
      <c r="A9" s="484" t="s">
        <v>93</v>
      </c>
      <c r="B9" s="484" t="s">
        <v>34</v>
      </c>
      <c r="C9" s="485">
        <v>1586966708.71</v>
      </c>
      <c r="D9" s="485">
        <v>204857981.19</v>
      </c>
      <c r="E9" s="485">
        <v>1791824689.9000001</v>
      </c>
    </row>
    <row r="10" spans="1:5" x14ac:dyDescent="0.25">
      <c r="A10" s="484" t="s">
        <v>94</v>
      </c>
      <c r="B10" s="484" t="s">
        <v>35</v>
      </c>
      <c r="C10" s="486">
        <v>3050978484.8400002</v>
      </c>
      <c r="D10" s="486">
        <v>378859936.81999999</v>
      </c>
      <c r="E10" s="486">
        <v>3429838421.6599998</v>
      </c>
    </row>
    <row r="11" spans="1:5" x14ac:dyDescent="0.25">
      <c r="A11" s="484" t="s">
        <v>95</v>
      </c>
      <c r="B11" s="484" t="s">
        <v>36</v>
      </c>
      <c r="C11" s="486">
        <v>1611899023.8499999</v>
      </c>
      <c r="D11" s="486">
        <v>207129749.66</v>
      </c>
      <c r="E11" s="486">
        <v>1819028773.51</v>
      </c>
    </row>
    <row r="12" spans="1:5" x14ac:dyDescent="0.25">
      <c r="A12" s="484" t="s">
        <v>96</v>
      </c>
      <c r="B12" s="484" t="s">
        <v>37</v>
      </c>
      <c r="C12" s="486">
        <v>72358963.730000004</v>
      </c>
      <c r="D12" s="486">
        <v>12328787.960000001</v>
      </c>
      <c r="E12" s="486">
        <v>84687751.689999998</v>
      </c>
    </row>
    <row r="13" spans="1:5" x14ac:dyDescent="0.25">
      <c r="A13" s="484" t="s">
        <v>97</v>
      </c>
      <c r="B13" s="484" t="s">
        <v>38</v>
      </c>
      <c r="C13" s="486">
        <v>0</v>
      </c>
      <c r="D13" s="486">
        <v>0</v>
      </c>
      <c r="E13" s="486">
        <v>0</v>
      </c>
    </row>
    <row r="14" spans="1:5" x14ac:dyDescent="0.25">
      <c r="A14" s="487" t="s">
        <v>98</v>
      </c>
      <c r="B14" s="488"/>
      <c r="C14" s="489">
        <f>SUM(C9:C13)</f>
        <v>6322203181.1299992</v>
      </c>
      <c r="D14" s="489">
        <f>SUM(D9:D13)</f>
        <v>803176455.63</v>
      </c>
      <c r="E14" s="489">
        <f>SUM(E9:E13)</f>
        <v>7125379636.7599993</v>
      </c>
    </row>
    <row r="16" spans="1:5" x14ac:dyDescent="0.25">
      <c r="A16" s="484" t="s">
        <v>99</v>
      </c>
      <c r="B16" s="484" t="s">
        <v>100</v>
      </c>
      <c r="C16" s="486">
        <v>1047484.08</v>
      </c>
      <c r="D16" s="486">
        <v>132080.17000000001</v>
      </c>
      <c r="E16" s="486">
        <v>1179564.25</v>
      </c>
    </row>
    <row r="17" spans="1:5" x14ac:dyDescent="0.25">
      <c r="A17" s="484" t="s">
        <v>101</v>
      </c>
      <c r="B17" s="484" t="s">
        <v>102</v>
      </c>
      <c r="C17" s="486">
        <v>2015460.24</v>
      </c>
      <c r="D17" s="486">
        <v>244395.72</v>
      </c>
      <c r="E17" s="486">
        <v>2259855.96</v>
      </c>
    </row>
    <row r="18" spans="1:5" x14ac:dyDescent="0.25">
      <c r="A18" s="484" t="s">
        <v>103</v>
      </c>
      <c r="B18" s="484" t="s">
        <v>104</v>
      </c>
      <c r="C18" s="486">
        <v>1577445.51</v>
      </c>
      <c r="D18" s="486">
        <v>197470.11</v>
      </c>
      <c r="E18" s="486">
        <v>1774915.62</v>
      </c>
    </row>
    <row r="19" spans="1:5" x14ac:dyDescent="0.25">
      <c r="A19" s="484" t="s">
        <v>105</v>
      </c>
      <c r="B19" s="484" t="s">
        <v>106</v>
      </c>
      <c r="C19" s="486">
        <v>46648.03</v>
      </c>
      <c r="D19" s="486">
        <v>7607.88</v>
      </c>
      <c r="E19" s="486">
        <v>54255.91</v>
      </c>
    </row>
    <row r="20" spans="1:5" x14ac:dyDescent="0.25">
      <c r="A20" s="487" t="s">
        <v>107</v>
      </c>
      <c r="B20" s="488"/>
      <c r="C20" s="489">
        <f>SUM(C16:C19)</f>
        <v>4687037.8600000003</v>
      </c>
      <c r="D20" s="489">
        <f>SUM(D16:D19)</f>
        <v>581553.88</v>
      </c>
      <c r="E20" s="489">
        <f>SUM(E16:E19)</f>
        <v>5268591.74</v>
      </c>
    </row>
    <row r="22" spans="1:5" x14ac:dyDescent="0.25">
      <c r="A22" s="484" t="s">
        <v>108</v>
      </c>
      <c r="B22" s="484" t="s">
        <v>109</v>
      </c>
      <c r="C22" s="486">
        <v>-18753.86</v>
      </c>
      <c r="D22" s="486">
        <v>41722.699999999997</v>
      </c>
      <c r="E22" s="486">
        <v>22968.84</v>
      </c>
    </row>
    <row r="23" spans="1:5" x14ac:dyDescent="0.25">
      <c r="A23" s="484" t="s">
        <v>110</v>
      </c>
      <c r="B23" s="484" t="s">
        <v>111</v>
      </c>
      <c r="C23" s="486">
        <v>-37357.97</v>
      </c>
      <c r="D23" s="486">
        <v>77213.990000000005</v>
      </c>
      <c r="E23" s="486">
        <v>39856.019999999997</v>
      </c>
    </row>
    <row r="24" spans="1:5" x14ac:dyDescent="0.25">
      <c r="A24" s="484" t="s">
        <v>112</v>
      </c>
      <c r="B24" s="484" t="s">
        <v>113</v>
      </c>
      <c r="C24" s="486">
        <v>8567.5499999999993</v>
      </c>
      <c r="D24" s="486">
        <v>42115.26</v>
      </c>
      <c r="E24" s="486">
        <v>50682.81</v>
      </c>
    </row>
    <row r="25" spans="1:5" x14ac:dyDescent="0.25">
      <c r="A25" s="484" t="s">
        <v>114</v>
      </c>
      <c r="B25" s="484" t="s">
        <v>115</v>
      </c>
      <c r="C25" s="486">
        <v>1920.65</v>
      </c>
      <c r="D25" s="486">
        <v>2502.42</v>
      </c>
      <c r="E25" s="486">
        <v>4423.07</v>
      </c>
    </row>
    <row r="26" spans="1:5" x14ac:dyDescent="0.25">
      <c r="A26" s="487" t="s">
        <v>116</v>
      </c>
      <c r="B26" s="488"/>
      <c r="C26" s="489">
        <f>SUM(C22:C25)</f>
        <v>-45623.63</v>
      </c>
      <c r="D26" s="489">
        <f>SUM(D22:D25)</f>
        <v>163554.37000000002</v>
      </c>
      <c r="E26" s="489">
        <f>SUM(E22:E25)</f>
        <v>117930.73999999999</v>
      </c>
    </row>
    <row r="28" spans="1:5" x14ac:dyDescent="0.25">
      <c r="A28" s="484" t="s">
        <v>117</v>
      </c>
      <c r="B28" s="484" t="s">
        <v>118</v>
      </c>
      <c r="C28" s="486">
        <v>1019.6</v>
      </c>
      <c r="D28" s="486">
        <v>0</v>
      </c>
      <c r="E28" s="486">
        <v>1019.6</v>
      </c>
    </row>
    <row r="29" spans="1:5" x14ac:dyDescent="0.25">
      <c r="A29" s="484" t="s">
        <v>119</v>
      </c>
      <c r="B29" s="484" t="s">
        <v>120</v>
      </c>
      <c r="C29" s="486">
        <v>1965.3</v>
      </c>
      <c r="D29" s="486">
        <v>0</v>
      </c>
      <c r="E29" s="486">
        <v>1965.3</v>
      </c>
    </row>
    <row r="30" spans="1:5" x14ac:dyDescent="0.25">
      <c r="A30" s="484" t="s">
        <v>121</v>
      </c>
      <c r="B30" s="484" t="s">
        <v>122</v>
      </c>
      <c r="C30" s="486">
        <v>967.5</v>
      </c>
      <c r="D30" s="486">
        <v>0</v>
      </c>
      <c r="E30" s="486">
        <v>967.5</v>
      </c>
    </row>
    <row r="31" spans="1:5" x14ac:dyDescent="0.25">
      <c r="A31" s="484" t="s">
        <v>123</v>
      </c>
      <c r="B31" s="484" t="s">
        <v>124</v>
      </c>
      <c r="C31" s="486">
        <v>47.6</v>
      </c>
      <c r="D31" s="486">
        <v>0</v>
      </c>
      <c r="E31" s="486">
        <v>47.6</v>
      </c>
    </row>
    <row r="32" spans="1:5" x14ac:dyDescent="0.25">
      <c r="A32" s="487" t="s">
        <v>125</v>
      </c>
      <c r="B32" s="488"/>
      <c r="C32" s="489">
        <f>SUM(C28:C31)</f>
        <v>4000</v>
      </c>
      <c r="D32" s="489">
        <f>SUM(D28:D31)</f>
        <v>0</v>
      </c>
      <c r="E32" s="489">
        <f>SUM(E28:E31)</f>
        <v>4000</v>
      </c>
    </row>
    <row r="34" spans="1:5" x14ac:dyDescent="0.25">
      <c r="A34" s="484" t="s">
        <v>317</v>
      </c>
      <c r="B34" s="484" t="s">
        <v>318</v>
      </c>
      <c r="C34" s="486">
        <v>0</v>
      </c>
      <c r="D34" s="486">
        <v>0</v>
      </c>
      <c r="E34" s="486">
        <v>0</v>
      </c>
    </row>
    <row r="35" spans="1:5" x14ac:dyDescent="0.25">
      <c r="A35" s="484" t="s">
        <v>319</v>
      </c>
      <c r="B35" s="484" t="s">
        <v>320</v>
      </c>
      <c r="C35" s="486">
        <v>0</v>
      </c>
      <c r="D35" s="486">
        <v>0</v>
      </c>
      <c r="E35" s="486">
        <v>0</v>
      </c>
    </row>
    <row r="36" spans="1:5" x14ac:dyDescent="0.25">
      <c r="A36" s="484" t="s">
        <v>321</v>
      </c>
      <c r="B36" s="484" t="s">
        <v>322</v>
      </c>
      <c r="C36" s="486">
        <v>0</v>
      </c>
      <c r="D36" s="486">
        <v>0</v>
      </c>
      <c r="E36" s="486">
        <v>0</v>
      </c>
    </row>
    <row r="37" spans="1:5" x14ac:dyDescent="0.25">
      <c r="A37" s="484" t="s">
        <v>323</v>
      </c>
      <c r="B37" s="484" t="s">
        <v>324</v>
      </c>
      <c r="C37" s="486">
        <v>0</v>
      </c>
      <c r="D37" s="486">
        <v>0</v>
      </c>
      <c r="E37" s="486">
        <v>0</v>
      </c>
    </row>
    <row r="38" spans="1:5" x14ac:dyDescent="0.25">
      <c r="A38" s="487" t="s">
        <v>325</v>
      </c>
      <c r="B38" s="488"/>
      <c r="C38" s="489">
        <f>SUM(C34:C37)</f>
        <v>0</v>
      </c>
      <c r="D38" s="489">
        <f>SUM(D34:D37)</f>
        <v>0</v>
      </c>
      <c r="E38" s="489">
        <f>SUM(E34:E37)</f>
        <v>0</v>
      </c>
    </row>
    <row r="40" spans="1:5" x14ac:dyDescent="0.25">
      <c r="A40" s="484" t="s">
        <v>126</v>
      </c>
      <c r="B40" s="484" t="s">
        <v>347</v>
      </c>
      <c r="C40" s="486">
        <v>-6618509.8600000003</v>
      </c>
      <c r="D40" s="486">
        <v>-2368657.46</v>
      </c>
      <c r="E40" s="486">
        <v>-8987167.3200000003</v>
      </c>
    </row>
    <row r="41" spans="1:5" x14ac:dyDescent="0.25">
      <c r="A41" s="484" t="s">
        <v>128</v>
      </c>
      <c r="B41" s="484" t="s">
        <v>348</v>
      </c>
      <c r="C41" s="486">
        <v>-13742011.720000001</v>
      </c>
      <c r="D41" s="486">
        <v>-4041129.95</v>
      </c>
      <c r="E41" s="486">
        <v>-17783141.670000002</v>
      </c>
    </row>
    <row r="42" spans="1:5" x14ac:dyDescent="0.25">
      <c r="A42" s="484" t="s">
        <v>130</v>
      </c>
      <c r="B42" s="484" t="s">
        <v>349</v>
      </c>
      <c r="C42" s="486">
        <v>-6670914.71</v>
      </c>
      <c r="D42" s="486">
        <v>-2204174.88</v>
      </c>
      <c r="E42" s="486">
        <v>-8875089.5899999999</v>
      </c>
    </row>
    <row r="43" spans="1:5" x14ac:dyDescent="0.25">
      <c r="A43" s="484" t="s">
        <v>132</v>
      </c>
      <c r="B43" s="484" t="s">
        <v>350</v>
      </c>
      <c r="C43" s="486">
        <v>-276489.65000000002</v>
      </c>
      <c r="D43" s="486">
        <v>-130966.5</v>
      </c>
      <c r="E43" s="486">
        <v>-407456.15</v>
      </c>
    </row>
    <row r="44" spans="1:5" x14ac:dyDescent="0.25">
      <c r="A44" s="487" t="s">
        <v>134</v>
      </c>
      <c r="B44" s="488"/>
      <c r="C44" s="489">
        <f>SUM(C40:C43)</f>
        <v>-27307925.940000001</v>
      </c>
      <c r="D44" s="489">
        <f>SUM(D40:D43)</f>
        <v>-8744928.7899999991</v>
      </c>
      <c r="E44" s="489">
        <f>SUM(E40:E43)</f>
        <v>-36052854.729999997</v>
      </c>
    </row>
    <row r="46" spans="1:5" x14ac:dyDescent="0.25">
      <c r="A46" s="484" t="s">
        <v>326</v>
      </c>
      <c r="B46" s="484" t="s">
        <v>327</v>
      </c>
      <c r="C46" s="486">
        <v>0</v>
      </c>
      <c r="D46" s="486">
        <v>0</v>
      </c>
      <c r="E46" s="486">
        <v>0</v>
      </c>
    </row>
    <row r="47" spans="1:5" x14ac:dyDescent="0.25">
      <c r="A47" s="484" t="s">
        <v>328</v>
      </c>
      <c r="B47" s="484" t="s">
        <v>329</v>
      </c>
      <c r="C47" s="486">
        <v>38452103</v>
      </c>
      <c r="D47" s="486">
        <v>-24999704</v>
      </c>
      <c r="E47" s="486">
        <v>13452399</v>
      </c>
    </row>
    <row r="48" spans="1:5" x14ac:dyDescent="0.25">
      <c r="A48" s="484" t="s">
        <v>330</v>
      </c>
      <c r="B48" s="484" t="s">
        <v>331</v>
      </c>
      <c r="C48" s="486">
        <v>-41007647</v>
      </c>
      <c r="D48" s="486">
        <v>5778222</v>
      </c>
      <c r="E48" s="486">
        <v>-35229425</v>
      </c>
    </row>
    <row r="49" spans="1:5" x14ac:dyDescent="0.25">
      <c r="A49" s="484" t="s">
        <v>332</v>
      </c>
      <c r="B49" s="484" t="s">
        <v>333</v>
      </c>
      <c r="C49" s="486">
        <v>0</v>
      </c>
      <c r="D49" s="486">
        <v>0</v>
      </c>
      <c r="E49" s="486">
        <v>0</v>
      </c>
    </row>
    <row r="50" spans="1:5" x14ac:dyDescent="0.25">
      <c r="A50" s="487" t="s">
        <v>334</v>
      </c>
      <c r="B50" s="488"/>
      <c r="C50" s="489">
        <f>SUM(C46:C49)</f>
        <v>-2555544</v>
      </c>
      <c r="D50" s="489">
        <f>SUM(D46:D49)</f>
        <v>-19221482</v>
      </c>
      <c r="E50" s="489">
        <f>SUM(E46:E49)</f>
        <v>-21777026</v>
      </c>
    </row>
    <row r="52" spans="1:5" x14ac:dyDescent="0.25">
      <c r="A52" s="484" t="s">
        <v>135</v>
      </c>
      <c r="B52" s="484" t="s">
        <v>136</v>
      </c>
      <c r="C52" s="486">
        <v>-1351053194.3</v>
      </c>
      <c r="D52" s="486">
        <v>-188273337.78999999</v>
      </c>
      <c r="E52" s="486">
        <v>-1539326532.0899999</v>
      </c>
    </row>
    <row r="53" spans="1:5" x14ac:dyDescent="0.25">
      <c r="A53" s="484" t="s">
        <v>137</v>
      </c>
      <c r="B53" s="484" t="s">
        <v>138</v>
      </c>
      <c r="C53" s="486">
        <v>-2680076917.7199998</v>
      </c>
      <c r="D53" s="486">
        <v>-338810913</v>
      </c>
      <c r="E53" s="486">
        <v>-3018887830.7199998</v>
      </c>
    </row>
    <row r="54" spans="1:5" x14ac:dyDescent="0.25">
      <c r="A54" s="484" t="s">
        <v>139</v>
      </c>
      <c r="B54" s="484" t="s">
        <v>140</v>
      </c>
      <c r="C54" s="486">
        <v>-1399316680.29</v>
      </c>
      <c r="D54" s="486">
        <v>-183556220</v>
      </c>
      <c r="E54" s="486">
        <v>-1582872900.29</v>
      </c>
    </row>
    <row r="55" spans="1:5" x14ac:dyDescent="0.25">
      <c r="A55" s="484" t="s">
        <v>141</v>
      </c>
      <c r="B55" s="484" t="s">
        <v>142</v>
      </c>
      <c r="C55" s="486">
        <v>-82103186.349999994</v>
      </c>
      <c r="D55" s="486">
        <v>-18316276.300000001</v>
      </c>
      <c r="E55" s="486">
        <v>-100419462.65000001</v>
      </c>
    </row>
    <row r="56" spans="1:5" x14ac:dyDescent="0.25">
      <c r="A56" s="487" t="s">
        <v>143</v>
      </c>
      <c r="B56" s="488"/>
      <c r="C56" s="489">
        <f>SUM(C52:C55)</f>
        <v>-5512549978.6599998</v>
      </c>
      <c r="D56" s="489">
        <f>SUM(D52:D55)</f>
        <v>-728956747.08999991</v>
      </c>
      <c r="E56" s="489">
        <f>SUM(E52:E55)</f>
        <v>-6241506725.749999</v>
      </c>
    </row>
    <row r="58" spans="1:5" x14ac:dyDescent="0.25">
      <c r="A58" s="484" t="s">
        <v>351</v>
      </c>
      <c r="B58" s="484" t="s">
        <v>352</v>
      </c>
      <c r="C58" s="486">
        <v>-51027437.759999998</v>
      </c>
      <c r="D58" s="486">
        <v>1630906.7</v>
      </c>
      <c r="E58" s="486">
        <v>-49396531.060000002</v>
      </c>
    </row>
    <row r="59" spans="1:5" x14ac:dyDescent="0.25">
      <c r="A59" s="484" t="s">
        <v>353</v>
      </c>
      <c r="B59" s="484" t="s">
        <v>354</v>
      </c>
      <c r="C59" s="486">
        <v>-540.66</v>
      </c>
      <c r="D59" s="486">
        <v>0</v>
      </c>
      <c r="E59" s="486">
        <v>-540.66</v>
      </c>
    </row>
    <row r="60" spans="1:5" x14ac:dyDescent="0.25">
      <c r="C60" s="486">
        <f>SUM(C58:C59)</f>
        <v>-51027978.419999994</v>
      </c>
      <c r="D60" s="486">
        <f>SUM(D58:D59)</f>
        <v>1630906.7</v>
      </c>
      <c r="E60" s="486">
        <f>SUM(E58:E59)</f>
        <v>-49397071.719999999</v>
      </c>
    </row>
    <row r="62" spans="1:5" x14ac:dyDescent="0.25">
      <c r="A62" s="487" t="s">
        <v>144</v>
      </c>
      <c r="B62" s="487" t="s">
        <v>39</v>
      </c>
      <c r="C62" s="489">
        <v>0</v>
      </c>
      <c r="D62" s="489">
        <v>0</v>
      </c>
      <c r="E62" s="489">
        <v>0</v>
      </c>
    </row>
    <row r="63" spans="1:5" x14ac:dyDescent="0.25">
      <c r="A63" s="484" t="s">
        <v>145</v>
      </c>
    </row>
    <row r="66" spans="1:5" x14ac:dyDescent="0.25">
      <c r="A66" s="484" t="s">
        <v>146</v>
      </c>
      <c r="B66" s="484" t="s">
        <v>80</v>
      </c>
      <c r="C66" s="486">
        <v>0</v>
      </c>
      <c r="D66" s="486">
        <v>0</v>
      </c>
      <c r="E66" s="486">
        <v>0</v>
      </c>
    </row>
    <row r="67" spans="1:5" x14ac:dyDescent="0.25">
      <c r="A67" s="484" t="s">
        <v>147</v>
      </c>
      <c r="B67" s="484" t="s">
        <v>81</v>
      </c>
      <c r="C67" s="486">
        <v>0</v>
      </c>
      <c r="D67" s="486">
        <v>0</v>
      </c>
      <c r="E67" s="486">
        <v>0</v>
      </c>
    </row>
    <row r="68" spans="1:5" x14ac:dyDescent="0.25">
      <c r="A68" s="484" t="s">
        <v>148</v>
      </c>
      <c r="B68" s="484" t="s">
        <v>82</v>
      </c>
      <c r="C68" s="486">
        <v>0</v>
      </c>
      <c r="D68" s="486">
        <v>0</v>
      </c>
      <c r="E68" s="486">
        <v>0</v>
      </c>
    </row>
    <row r="69" spans="1:5" x14ac:dyDescent="0.25">
      <c r="A69" s="484" t="s">
        <v>149</v>
      </c>
      <c r="B69" s="484" t="s">
        <v>83</v>
      </c>
      <c r="C69" s="486">
        <v>0</v>
      </c>
      <c r="D69" s="486">
        <v>0</v>
      </c>
      <c r="E69" s="486">
        <v>0</v>
      </c>
    </row>
    <row r="70" spans="1:5" x14ac:dyDescent="0.25">
      <c r="A70" s="487" t="s">
        <v>150</v>
      </c>
      <c r="B70" s="488"/>
      <c r="C70" s="489">
        <f>SUM(C66:C69)</f>
        <v>0</v>
      </c>
      <c r="D70" s="489">
        <f>SUM(D66:D69)</f>
        <v>0</v>
      </c>
      <c r="E70" s="489">
        <f>SUM(E66:E69)</f>
        <v>0</v>
      </c>
    </row>
    <row r="72" spans="1:5" x14ac:dyDescent="0.25">
      <c r="A72" s="484" t="s">
        <v>151</v>
      </c>
      <c r="B72" s="484" t="s">
        <v>40</v>
      </c>
      <c r="C72" s="486">
        <v>-47241464.710000001</v>
      </c>
      <c r="D72" s="486">
        <v>-6291696.8399999999</v>
      </c>
      <c r="E72" s="486">
        <v>-53533161.549999997</v>
      </c>
    </row>
    <row r="73" spans="1:5" x14ac:dyDescent="0.25">
      <c r="A73" s="484" t="s">
        <v>152</v>
      </c>
      <c r="B73" s="484" t="s">
        <v>41</v>
      </c>
      <c r="C73" s="486">
        <v>-10519899.24</v>
      </c>
      <c r="D73" s="486">
        <v>-1249494.52</v>
      </c>
      <c r="E73" s="486">
        <v>-11769393.76</v>
      </c>
    </row>
    <row r="74" spans="1:5" x14ac:dyDescent="0.25">
      <c r="A74" s="484" t="s">
        <v>153</v>
      </c>
      <c r="B74" s="484" t="s">
        <v>42</v>
      </c>
      <c r="C74" s="486">
        <v>-4086792.9</v>
      </c>
      <c r="D74" s="486">
        <v>-522076.73</v>
      </c>
      <c r="E74" s="486">
        <v>-4608869.63</v>
      </c>
    </row>
    <row r="75" spans="1:5" x14ac:dyDescent="0.25">
      <c r="A75" s="484" t="s">
        <v>154</v>
      </c>
      <c r="B75" s="484" t="s">
        <v>43</v>
      </c>
      <c r="C75" s="486">
        <v>-8886328.2599999998</v>
      </c>
      <c r="D75" s="486">
        <v>-1183476.02</v>
      </c>
      <c r="E75" s="486">
        <v>-10069804.279999999</v>
      </c>
    </row>
    <row r="76" spans="1:5" x14ac:dyDescent="0.25">
      <c r="A76" s="487" t="s">
        <v>155</v>
      </c>
      <c r="B76" s="488"/>
      <c r="C76" s="489">
        <f>SUM(C72:C75)</f>
        <v>-70734485.109999999</v>
      </c>
      <c r="D76" s="489">
        <f>SUM(D72:D75)</f>
        <v>-9246744.1099999994</v>
      </c>
      <c r="E76" s="489">
        <f>SUM(E72:E75)</f>
        <v>-79981229.219999999</v>
      </c>
    </row>
    <row r="78" spans="1:5" x14ac:dyDescent="0.25">
      <c r="A78" s="484" t="s">
        <v>156</v>
      </c>
      <c r="B78" s="484" t="s">
        <v>157</v>
      </c>
      <c r="C78" s="486">
        <v>6363102.3499999996</v>
      </c>
      <c r="D78" s="486">
        <v>507967.49</v>
      </c>
      <c r="E78" s="486">
        <v>6871069.8399999999</v>
      </c>
    </row>
    <row r="79" spans="1:5" x14ac:dyDescent="0.25">
      <c r="A79" s="484" t="s">
        <v>158</v>
      </c>
      <c r="B79" s="484" t="s">
        <v>159</v>
      </c>
      <c r="C79" s="486">
        <v>6649426.3399999999</v>
      </c>
      <c r="D79" s="486">
        <v>1022831.73</v>
      </c>
      <c r="E79" s="486">
        <v>7672258.0700000003</v>
      </c>
    </row>
    <row r="80" spans="1:5" x14ac:dyDescent="0.25">
      <c r="A80" s="484" t="s">
        <v>160</v>
      </c>
      <c r="B80" s="484" t="s">
        <v>161</v>
      </c>
      <c r="C80" s="486">
        <v>218204.33</v>
      </c>
      <c r="D80" s="486">
        <v>55106.8</v>
      </c>
      <c r="E80" s="486">
        <v>273311.13</v>
      </c>
    </row>
    <row r="81" spans="1:5" x14ac:dyDescent="0.25">
      <c r="A81" s="484" t="s">
        <v>162</v>
      </c>
      <c r="B81" s="484" t="s">
        <v>163</v>
      </c>
      <c r="C81" s="486">
        <v>4796404.4400000004</v>
      </c>
      <c r="D81" s="486">
        <v>729775.83</v>
      </c>
      <c r="E81" s="486">
        <v>5526180.2699999996</v>
      </c>
    </row>
    <row r="82" spans="1:5" x14ac:dyDescent="0.25">
      <c r="A82" s="487" t="s">
        <v>164</v>
      </c>
      <c r="B82" s="488"/>
      <c r="C82" s="489">
        <f>SUM(C78:C81)</f>
        <v>18027137.460000001</v>
      </c>
      <c r="D82" s="489">
        <f>SUM(D78:D81)</f>
        <v>2315681.85</v>
      </c>
      <c r="E82" s="489">
        <f>SUM(E78:E81)</f>
        <v>20342819.310000002</v>
      </c>
    </row>
    <row r="84" spans="1:5" x14ac:dyDescent="0.25">
      <c r="A84" s="487" t="s">
        <v>31</v>
      </c>
      <c r="B84" s="488"/>
      <c r="C84" s="489">
        <f>C14+C20+C26+C32+C44+C56+C62+C70+C76+C82+C50+C38+C60</f>
        <v>680699820.68999934</v>
      </c>
      <c r="D84" s="489">
        <f>D14+D20+D26+D32+D44+D56+D62+D70+D76+D82+D50+D38+D60</f>
        <v>41698250.440000124</v>
      </c>
      <c r="E84" s="489">
        <f>E14+E20+E26+E32+E44+E56+E62+E70+E76+E82+E50+E38+E60</f>
        <v>722398071.13000011</v>
      </c>
    </row>
    <row r="85" spans="1:5" x14ac:dyDescent="0.25">
      <c r="D85" s="486">
        <v>41698250.440000169</v>
      </c>
    </row>
  </sheetData>
  <pageMargins left="0.75" right="0.75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82</vt:i4>
      </vt:variant>
      <vt:variant>
        <vt:lpstr>Named Ranges</vt:lpstr>
      </vt:variant>
      <vt:variant>
        <vt:i4>8</vt:i4>
      </vt:variant>
    </vt:vector>
  </HeadingPairs>
  <TitlesOfParts>
    <vt:vector size="90" baseType="lpstr">
      <vt:lpstr>Sheet1</vt:lpstr>
      <vt:lpstr>2015 Accrual Quarterly</vt:lpstr>
      <vt:lpstr>TB Sep 2012 Final</vt:lpstr>
      <vt:lpstr>TB Oct 12</vt:lpstr>
      <vt:lpstr>TB Nov 12</vt:lpstr>
      <vt:lpstr>Sept 12</vt:lpstr>
      <vt:lpstr>Aug 12</vt:lpstr>
      <vt:lpstr>July 12</vt:lpstr>
      <vt:lpstr>June 12</vt:lpstr>
      <vt:lpstr>May 2012 Final</vt:lpstr>
      <vt:lpstr>May 12</vt:lpstr>
      <vt:lpstr>Apr 12</vt:lpstr>
      <vt:lpstr>April 2012 Final </vt:lpstr>
      <vt:lpstr>Mar 12</vt:lpstr>
      <vt:lpstr>Jan 12</vt:lpstr>
      <vt:lpstr>Feb 12</vt:lpstr>
      <vt:lpstr>Jan 12 Final</vt:lpstr>
      <vt:lpstr>April 11</vt:lpstr>
      <vt:lpstr>May 11</vt:lpstr>
      <vt:lpstr>June 11</vt:lpstr>
      <vt:lpstr>TB Dec 10</vt:lpstr>
      <vt:lpstr>Dece final 20101</vt:lpstr>
      <vt:lpstr>TB Dec 2010 </vt:lpstr>
      <vt:lpstr>TB Nov 2010</vt:lpstr>
      <vt:lpstr>TB Oct 2010</vt:lpstr>
      <vt:lpstr>TB Sept 2010</vt:lpstr>
      <vt:lpstr>TB August 2010</vt:lpstr>
      <vt:lpstr>TB July 2010</vt:lpstr>
      <vt:lpstr>TB June 2010</vt:lpstr>
      <vt:lpstr>TB May 2010</vt:lpstr>
      <vt:lpstr>May 2010 Bank to 224</vt:lpstr>
      <vt:lpstr>TB April 2010</vt:lpstr>
      <vt:lpstr>TB March 2010</vt:lpstr>
      <vt:lpstr>Feb TB 2010</vt:lpstr>
      <vt:lpstr>TB Jan 2010</vt:lpstr>
      <vt:lpstr>TB Dec 09</vt:lpstr>
      <vt:lpstr>TB Nov 09</vt:lpstr>
      <vt:lpstr>TB Oct 09</vt:lpstr>
      <vt:lpstr>TB Sept 09</vt:lpstr>
      <vt:lpstr>TB August 09</vt:lpstr>
      <vt:lpstr>TB July 09</vt:lpstr>
      <vt:lpstr>TB June 7-14-2009</vt:lpstr>
      <vt:lpstr>TB June 7-13-09</vt:lpstr>
      <vt:lpstr>TB June 09</vt:lpstr>
      <vt:lpstr>TB May 09</vt:lpstr>
      <vt:lpstr>TB April 04</vt:lpstr>
      <vt:lpstr>TB Mar 09</vt:lpstr>
      <vt:lpstr>TB Feb TB final</vt:lpstr>
      <vt:lpstr>TB Feb 09</vt:lpstr>
      <vt:lpstr>TB Jan 09</vt:lpstr>
      <vt:lpstr>TB Dec 08 Revised</vt:lpstr>
      <vt:lpstr>TB Dec 08</vt:lpstr>
      <vt:lpstr>2008 Accrual Monthly</vt:lpstr>
      <vt:lpstr>2007 Accrual Monthly</vt:lpstr>
      <vt:lpstr>2009 Accrual Monthly</vt:lpstr>
      <vt:lpstr>TB Dec 12</vt:lpstr>
      <vt:lpstr>TB Nov 12 Final</vt:lpstr>
      <vt:lpstr>March 13</vt:lpstr>
      <vt:lpstr>August 13</vt:lpstr>
      <vt:lpstr>July 13</vt:lpstr>
      <vt:lpstr>June 13</vt:lpstr>
      <vt:lpstr>May 13</vt:lpstr>
      <vt:lpstr>Apr 13</vt:lpstr>
      <vt:lpstr>Mar Final</vt:lpstr>
      <vt:lpstr>Feb 13</vt:lpstr>
      <vt:lpstr>Jan 13</vt:lpstr>
      <vt:lpstr>October 13</vt:lpstr>
      <vt:lpstr>November 13</vt:lpstr>
      <vt:lpstr>December 13</vt:lpstr>
      <vt:lpstr>September 13</vt:lpstr>
      <vt:lpstr>Jan 14</vt:lpstr>
      <vt:lpstr>Feb 14</vt:lpstr>
      <vt:lpstr>Mar 14</vt:lpstr>
      <vt:lpstr>Apr 14</vt:lpstr>
      <vt:lpstr>May 14</vt:lpstr>
      <vt:lpstr>Jun 14</vt:lpstr>
      <vt:lpstr>Jul 14</vt:lpstr>
      <vt:lpstr>Aug 14</vt:lpstr>
      <vt:lpstr>Sep 14</vt:lpstr>
      <vt:lpstr>Oct 14</vt:lpstr>
      <vt:lpstr>Nov 14</vt:lpstr>
      <vt:lpstr>Dec 14</vt:lpstr>
      <vt:lpstr>'2007 Accrual Monthly'!Print_Area</vt:lpstr>
      <vt:lpstr>'2008 Accrual Monthly'!Print_Area</vt:lpstr>
      <vt:lpstr>'2009 Accrual Monthly'!Print_Area</vt:lpstr>
      <vt:lpstr>'2015 Accrual Quarterly'!Print_Area</vt:lpstr>
      <vt:lpstr>'May 2010 Bank to 224'!Print_Area</vt:lpstr>
      <vt:lpstr>'2007 Accrual Monthly'!Print_Titles</vt:lpstr>
      <vt:lpstr>'2008 Accrual Monthly'!Print_Titles</vt:lpstr>
      <vt:lpstr>'2009 Accrual Monthly'!Print_Titles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Mann</dc:creator>
  <cp:lastModifiedBy>Tameca Bethel</cp:lastModifiedBy>
  <cp:lastPrinted>2016-01-28T20:46:33Z</cp:lastPrinted>
  <dcterms:created xsi:type="dcterms:W3CDTF">1996-10-14T23:33:28Z</dcterms:created>
  <dcterms:modified xsi:type="dcterms:W3CDTF">2016-01-28T20:46:40Z</dcterms:modified>
</cp:coreProperties>
</file>